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otd1t\Desktop\"/>
    </mc:Choice>
  </mc:AlternateContent>
  <xr:revisionPtr revIDLastSave="0" documentId="8_{819192FD-0751-4F22-AF71-A3271D9AEEA4}" xr6:coauthVersionLast="47" xr6:coauthVersionMax="47" xr10:uidLastSave="{00000000-0000-0000-0000-000000000000}"/>
  <bookViews>
    <workbookView xWindow="-120" yWindow="-120" windowWidth="29040" windowHeight="15720"/>
  </bookViews>
  <sheets>
    <sheet name="MC20250801" sheetId="1" r:id="rId1"/>
  </sheets>
  <calcPr calcId="0"/>
</workbook>
</file>

<file path=xl/calcChain.xml><?xml version="1.0" encoding="utf-8"?>
<calcChain xmlns="http://schemas.openxmlformats.org/spreadsheetml/2006/main">
  <c r="A2" i="1" l="1"/>
  <c r="B2" i="1"/>
  <c r="D2" i="1"/>
  <c r="E2" i="1"/>
  <c r="F2" i="1"/>
  <c r="G2" i="1"/>
  <c r="H2" i="1"/>
  <c r="I2" i="1"/>
  <c r="J2" i="1"/>
  <c r="K2" i="1"/>
  <c r="L2" i="1"/>
  <c r="M2" i="1"/>
  <c r="O2" i="1"/>
  <c r="P2" i="1"/>
  <c r="A3" i="1"/>
  <c r="B3" i="1"/>
  <c r="D3" i="1"/>
  <c r="E3" i="1"/>
  <c r="F3" i="1"/>
  <c r="G3" i="1"/>
  <c r="H3" i="1"/>
  <c r="I3" i="1"/>
  <c r="J3" i="1"/>
  <c r="K3" i="1"/>
  <c r="L3" i="1"/>
  <c r="M3" i="1"/>
  <c r="O3" i="1"/>
  <c r="P3" i="1"/>
  <c r="A4" i="1"/>
  <c r="B4" i="1"/>
  <c r="D4" i="1"/>
  <c r="E4" i="1"/>
  <c r="F4" i="1"/>
  <c r="G4" i="1"/>
  <c r="H4" i="1"/>
  <c r="I4" i="1"/>
  <c r="J4" i="1"/>
  <c r="K4" i="1"/>
  <c r="L4" i="1"/>
  <c r="M4" i="1"/>
  <c r="O4" i="1"/>
  <c r="P4" i="1"/>
  <c r="A5" i="1"/>
  <c r="B5" i="1"/>
  <c r="D5" i="1"/>
  <c r="E5" i="1"/>
  <c r="F5" i="1"/>
  <c r="G5" i="1"/>
  <c r="H5" i="1"/>
  <c r="I5" i="1"/>
  <c r="J5" i="1"/>
  <c r="K5" i="1"/>
  <c r="L5" i="1"/>
  <c r="M5" i="1"/>
  <c r="O5" i="1"/>
  <c r="P5" i="1"/>
  <c r="A6" i="1"/>
  <c r="B6" i="1"/>
  <c r="D6" i="1"/>
  <c r="E6" i="1"/>
  <c r="F6" i="1"/>
  <c r="G6" i="1"/>
  <c r="H6" i="1"/>
  <c r="I6" i="1"/>
  <c r="J6" i="1"/>
  <c r="K6" i="1"/>
  <c r="L6" i="1"/>
  <c r="M6" i="1"/>
  <c r="O6" i="1"/>
  <c r="P6" i="1"/>
  <c r="A7" i="1"/>
  <c r="B7" i="1"/>
  <c r="D7" i="1"/>
  <c r="E7" i="1"/>
  <c r="F7" i="1"/>
  <c r="G7" i="1"/>
  <c r="H7" i="1"/>
  <c r="I7" i="1"/>
  <c r="J7" i="1"/>
  <c r="K7" i="1"/>
  <c r="L7" i="1"/>
  <c r="M7" i="1"/>
  <c r="O7" i="1"/>
  <c r="P7" i="1"/>
  <c r="A8" i="1"/>
  <c r="B8" i="1"/>
  <c r="D8" i="1"/>
  <c r="E8" i="1"/>
  <c r="F8" i="1"/>
  <c r="G8" i="1"/>
  <c r="H8" i="1"/>
  <c r="I8" i="1"/>
  <c r="J8" i="1"/>
  <c r="K8" i="1"/>
  <c r="L8" i="1"/>
  <c r="M8" i="1"/>
  <c r="O8" i="1"/>
  <c r="P8" i="1"/>
  <c r="A9" i="1"/>
  <c r="B9" i="1"/>
  <c r="D9" i="1"/>
  <c r="E9" i="1"/>
  <c r="F9" i="1"/>
  <c r="G9" i="1"/>
  <c r="H9" i="1"/>
  <c r="I9" i="1"/>
  <c r="J9" i="1"/>
  <c r="K9" i="1"/>
  <c r="L9" i="1"/>
  <c r="M9" i="1"/>
  <c r="O9" i="1"/>
  <c r="P9" i="1"/>
  <c r="A10" i="1"/>
  <c r="B10" i="1"/>
  <c r="D10" i="1"/>
  <c r="E10" i="1"/>
  <c r="F10" i="1"/>
  <c r="G10" i="1"/>
  <c r="H10" i="1"/>
  <c r="I10" i="1"/>
  <c r="J10" i="1"/>
  <c r="K10" i="1"/>
  <c r="L10" i="1"/>
  <c r="M10" i="1"/>
  <c r="O10" i="1"/>
  <c r="P10" i="1"/>
  <c r="A11" i="1"/>
  <c r="B11" i="1"/>
  <c r="D11" i="1"/>
  <c r="E11" i="1"/>
  <c r="F11" i="1"/>
  <c r="G11" i="1"/>
  <c r="H11" i="1"/>
  <c r="I11" i="1"/>
  <c r="J11" i="1"/>
  <c r="K11" i="1"/>
  <c r="L11" i="1"/>
  <c r="M11" i="1"/>
  <c r="O11" i="1"/>
  <c r="P11" i="1"/>
  <c r="A12" i="1"/>
  <c r="B12" i="1"/>
  <c r="D12" i="1"/>
  <c r="E12" i="1"/>
  <c r="F12" i="1"/>
  <c r="G12" i="1"/>
  <c r="H12" i="1"/>
  <c r="I12" i="1"/>
  <c r="J12" i="1"/>
  <c r="K12" i="1"/>
  <c r="L12" i="1"/>
  <c r="M12" i="1"/>
  <c r="O12" i="1"/>
  <c r="P12" i="1"/>
  <c r="A13" i="1"/>
  <c r="B13" i="1"/>
  <c r="D13" i="1"/>
  <c r="E13" i="1"/>
  <c r="F13" i="1"/>
  <c r="G13" i="1"/>
  <c r="H13" i="1"/>
  <c r="I13" i="1"/>
  <c r="J13" i="1"/>
  <c r="K13" i="1"/>
  <c r="L13" i="1"/>
  <c r="M13" i="1"/>
  <c r="O13" i="1"/>
  <c r="P13" i="1"/>
  <c r="A14" i="1"/>
  <c r="B14" i="1"/>
  <c r="D14" i="1"/>
  <c r="E14" i="1"/>
  <c r="F14" i="1"/>
  <c r="G14" i="1"/>
  <c r="H14" i="1"/>
  <c r="I14" i="1"/>
  <c r="J14" i="1"/>
  <c r="K14" i="1"/>
  <c r="L14" i="1"/>
  <c r="M14" i="1"/>
  <c r="O14" i="1"/>
  <c r="P14" i="1"/>
  <c r="A15" i="1"/>
  <c r="B15" i="1"/>
  <c r="D15" i="1"/>
  <c r="E15" i="1"/>
  <c r="F15" i="1"/>
  <c r="G15" i="1"/>
  <c r="H15" i="1"/>
  <c r="I15" i="1"/>
  <c r="J15" i="1"/>
  <c r="K15" i="1"/>
  <c r="L15" i="1"/>
  <c r="M15" i="1"/>
  <c r="O15" i="1"/>
  <c r="P15" i="1"/>
  <c r="A16" i="1"/>
  <c r="B16" i="1"/>
  <c r="D16" i="1"/>
  <c r="E16" i="1"/>
  <c r="F16" i="1"/>
  <c r="G16" i="1"/>
  <c r="H16" i="1"/>
  <c r="I16" i="1"/>
  <c r="J16" i="1"/>
  <c r="K16" i="1"/>
  <c r="L16" i="1"/>
  <c r="M16" i="1"/>
  <c r="O16" i="1"/>
  <c r="P16" i="1"/>
  <c r="A17" i="1"/>
  <c r="B17" i="1"/>
  <c r="D17" i="1"/>
  <c r="E17" i="1"/>
  <c r="F17" i="1"/>
  <c r="G17" i="1"/>
  <c r="H17" i="1"/>
  <c r="I17" i="1"/>
  <c r="J17" i="1"/>
  <c r="K17" i="1"/>
  <c r="L17" i="1"/>
  <c r="M17" i="1"/>
  <c r="O17" i="1"/>
  <c r="P17" i="1"/>
  <c r="A18" i="1"/>
  <c r="B18" i="1"/>
  <c r="D18" i="1"/>
  <c r="E18" i="1"/>
  <c r="F18" i="1"/>
  <c r="G18" i="1"/>
  <c r="H18" i="1"/>
  <c r="I18" i="1"/>
  <c r="J18" i="1"/>
  <c r="K18" i="1"/>
  <c r="L18" i="1"/>
  <c r="M18" i="1"/>
  <c r="O18" i="1"/>
  <c r="P18" i="1"/>
  <c r="A19" i="1"/>
  <c r="B19" i="1"/>
  <c r="D19" i="1"/>
  <c r="E19" i="1"/>
  <c r="F19" i="1"/>
  <c r="G19" i="1"/>
  <c r="H19" i="1"/>
  <c r="I19" i="1"/>
  <c r="J19" i="1"/>
  <c r="K19" i="1"/>
  <c r="L19" i="1"/>
  <c r="M19" i="1"/>
  <c r="O19" i="1"/>
  <c r="P19" i="1"/>
  <c r="A20" i="1"/>
  <c r="B20" i="1"/>
  <c r="D20" i="1"/>
  <c r="E20" i="1"/>
  <c r="F20" i="1"/>
  <c r="G20" i="1"/>
  <c r="H20" i="1"/>
  <c r="I20" i="1"/>
  <c r="J20" i="1"/>
  <c r="K20" i="1"/>
  <c r="L20" i="1"/>
  <c r="M20" i="1"/>
  <c r="O20" i="1"/>
  <c r="P20" i="1"/>
  <c r="A21" i="1"/>
  <c r="B21" i="1"/>
  <c r="D21" i="1"/>
  <c r="E21" i="1"/>
  <c r="F21" i="1"/>
  <c r="G21" i="1"/>
  <c r="H21" i="1"/>
  <c r="I21" i="1"/>
  <c r="J21" i="1"/>
  <c r="K21" i="1"/>
  <c r="L21" i="1"/>
  <c r="M21" i="1"/>
  <c r="O21" i="1"/>
  <c r="P21" i="1"/>
  <c r="A22" i="1"/>
  <c r="B22" i="1"/>
  <c r="D22" i="1"/>
  <c r="E22" i="1"/>
  <c r="F22" i="1"/>
  <c r="G22" i="1"/>
  <c r="H22" i="1"/>
  <c r="I22" i="1"/>
  <c r="J22" i="1"/>
  <c r="K22" i="1"/>
  <c r="L22" i="1"/>
  <c r="M22" i="1"/>
  <c r="O22" i="1"/>
  <c r="P22" i="1"/>
  <c r="A23" i="1"/>
  <c r="B23" i="1"/>
  <c r="D23" i="1"/>
  <c r="E23" i="1"/>
  <c r="F23" i="1"/>
  <c r="G23" i="1"/>
  <c r="H23" i="1"/>
  <c r="I23" i="1"/>
  <c r="J23" i="1"/>
  <c r="K23" i="1"/>
  <c r="L23" i="1"/>
  <c r="M23" i="1"/>
  <c r="O23" i="1"/>
  <c r="P23" i="1"/>
  <c r="A24" i="1"/>
  <c r="B24" i="1"/>
  <c r="D24" i="1"/>
  <c r="E24" i="1"/>
  <c r="F24" i="1"/>
  <c r="G24" i="1"/>
  <c r="H24" i="1"/>
  <c r="I24" i="1"/>
  <c r="J24" i="1"/>
  <c r="K24" i="1"/>
  <c r="L24" i="1"/>
  <c r="M24" i="1"/>
  <c r="O24" i="1"/>
  <c r="P24" i="1"/>
  <c r="A25" i="1"/>
  <c r="B25" i="1"/>
  <c r="D25" i="1"/>
  <c r="E25" i="1"/>
  <c r="F25" i="1"/>
  <c r="G25" i="1"/>
  <c r="H25" i="1"/>
  <c r="I25" i="1"/>
  <c r="J25" i="1"/>
  <c r="K25" i="1"/>
  <c r="L25" i="1"/>
  <c r="M25" i="1"/>
  <c r="O25" i="1"/>
  <c r="P25" i="1"/>
  <c r="A26" i="1"/>
  <c r="B26" i="1"/>
  <c r="D26" i="1"/>
  <c r="E26" i="1"/>
  <c r="F26" i="1"/>
  <c r="G26" i="1"/>
  <c r="H26" i="1"/>
  <c r="I26" i="1"/>
  <c r="J26" i="1"/>
  <c r="K26" i="1"/>
  <c r="L26" i="1"/>
  <c r="M26" i="1"/>
  <c r="O26" i="1"/>
  <c r="P26" i="1"/>
  <c r="A27" i="1"/>
  <c r="B27" i="1"/>
  <c r="D27" i="1"/>
  <c r="E27" i="1"/>
  <c r="F27" i="1"/>
  <c r="G27" i="1"/>
  <c r="H27" i="1"/>
  <c r="I27" i="1"/>
  <c r="J27" i="1"/>
  <c r="K27" i="1"/>
  <c r="L27" i="1"/>
  <c r="M27" i="1"/>
  <c r="O27" i="1"/>
  <c r="P27" i="1"/>
  <c r="A28" i="1"/>
  <c r="B28" i="1"/>
  <c r="D28" i="1"/>
  <c r="E28" i="1"/>
  <c r="F28" i="1"/>
  <c r="G28" i="1"/>
  <c r="H28" i="1"/>
  <c r="I28" i="1"/>
  <c r="J28" i="1"/>
  <c r="K28" i="1"/>
  <c r="L28" i="1"/>
  <c r="M28" i="1"/>
  <c r="O28" i="1"/>
  <c r="P28" i="1"/>
  <c r="A29" i="1"/>
  <c r="B29" i="1"/>
  <c r="D29" i="1"/>
  <c r="E29" i="1"/>
  <c r="F29" i="1"/>
  <c r="G29" i="1"/>
  <c r="H29" i="1"/>
  <c r="I29" i="1"/>
  <c r="J29" i="1"/>
  <c r="K29" i="1"/>
  <c r="L29" i="1"/>
  <c r="M29" i="1"/>
  <c r="O29" i="1"/>
  <c r="P29" i="1"/>
  <c r="A30" i="1"/>
  <c r="B30" i="1"/>
  <c r="D30" i="1"/>
  <c r="E30" i="1"/>
  <c r="F30" i="1"/>
  <c r="G30" i="1"/>
  <c r="H30" i="1"/>
  <c r="I30" i="1"/>
  <c r="J30" i="1"/>
  <c r="K30" i="1"/>
  <c r="L30" i="1"/>
  <c r="M30" i="1"/>
  <c r="O30" i="1"/>
  <c r="P30" i="1"/>
  <c r="A31" i="1"/>
  <c r="B31" i="1"/>
  <c r="D31" i="1"/>
  <c r="E31" i="1"/>
  <c r="F31" i="1"/>
  <c r="G31" i="1"/>
  <c r="H31" i="1"/>
  <c r="I31" i="1"/>
  <c r="J31" i="1"/>
  <c r="K31" i="1"/>
  <c r="L31" i="1"/>
  <c r="M31" i="1"/>
  <c r="O31" i="1"/>
  <c r="P31" i="1"/>
  <c r="A32" i="1"/>
  <c r="B32" i="1"/>
  <c r="D32" i="1"/>
  <c r="E32" i="1"/>
  <c r="F32" i="1"/>
  <c r="G32" i="1"/>
  <c r="H32" i="1"/>
  <c r="I32" i="1"/>
  <c r="J32" i="1"/>
  <c r="K32" i="1"/>
  <c r="L32" i="1"/>
  <c r="M32" i="1"/>
  <c r="O32" i="1"/>
  <c r="P32" i="1"/>
  <c r="A33" i="1"/>
  <c r="B33" i="1"/>
  <c r="D33" i="1"/>
  <c r="E33" i="1"/>
  <c r="F33" i="1"/>
  <c r="G33" i="1"/>
  <c r="H33" i="1"/>
  <c r="I33" i="1"/>
  <c r="J33" i="1"/>
  <c r="K33" i="1"/>
  <c r="L33" i="1"/>
  <c r="M33" i="1"/>
  <c r="O33" i="1"/>
  <c r="P33" i="1"/>
  <c r="A34" i="1"/>
  <c r="B34" i="1"/>
  <c r="D34" i="1"/>
  <c r="E34" i="1"/>
  <c r="F34" i="1"/>
  <c r="G34" i="1"/>
  <c r="H34" i="1"/>
  <c r="I34" i="1"/>
  <c r="J34" i="1"/>
  <c r="K34" i="1"/>
  <c r="L34" i="1"/>
  <c r="M34" i="1"/>
  <c r="O34" i="1"/>
  <c r="P34" i="1"/>
  <c r="A35" i="1"/>
  <c r="B35" i="1"/>
  <c r="D35" i="1"/>
  <c r="E35" i="1"/>
  <c r="F35" i="1"/>
  <c r="G35" i="1"/>
  <c r="H35" i="1"/>
  <c r="I35" i="1"/>
  <c r="J35" i="1"/>
  <c r="K35" i="1"/>
  <c r="L35" i="1"/>
  <c r="M35" i="1"/>
  <c r="O35" i="1"/>
  <c r="P35" i="1"/>
  <c r="A36" i="1"/>
  <c r="B36" i="1"/>
  <c r="D36" i="1"/>
  <c r="E36" i="1"/>
  <c r="F36" i="1"/>
  <c r="G36" i="1"/>
  <c r="H36" i="1"/>
  <c r="I36" i="1"/>
  <c r="J36" i="1"/>
  <c r="K36" i="1"/>
  <c r="L36" i="1"/>
  <c r="M36" i="1"/>
  <c r="O36" i="1"/>
  <c r="P36" i="1"/>
  <c r="A37" i="1"/>
  <c r="B37" i="1"/>
  <c r="D37" i="1"/>
  <c r="E37" i="1"/>
  <c r="F37" i="1"/>
  <c r="G37" i="1"/>
  <c r="H37" i="1"/>
  <c r="I37" i="1"/>
  <c r="J37" i="1"/>
  <c r="K37" i="1"/>
  <c r="L37" i="1"/>
  <c r="M37" i="1"/>
  <c r="O37" i="1"/>
  <c r="P37" i="1"/>
  <c r="A38" i="1"/>
  <c r="B38" i="1"/>
  <c r="D38" i="1"/>
  <c r="E38" i="1"/>
  <c r="F38" i="1"/>
  <c r="G38" i="1"/>
  <c r="H38" i="1"/>
  <c r="I38" i="1"/>
  <c r="J38" i="1"/>
  <c r="K38" i="1"/>
  <c r="L38" i="1"/>
  <c r="M38" i="1"/>
  <c r="O38" i="1"/>
  <c r="P38" i="1"/>
  <c r="A39" i="1"/>
  <c r="B39" i="1"/>
  <c r="D39" i="1"/>
  <c r="E39" i="1"/>
  <c r="F39" i="1"/>
  <c r="G39" i="1"/>
  <c r="H39" i="1"/>
  <c r="I39" i="1"/>
  <c r="J39" i="1"/>
  <c r="K39" i="1"/>
  <c r="L39" i="1"/>
  <c r="M39" i="1"/>
  <c r="O39" i="1"/>
  <c r="P39" i="1"/>
  <c r="A40" i="1"/>
  <c r="B40" i="1"/>
  <c r="D40" i="1"/>
  <c r="E40" i="1"/>
  <c r="F40" i="1"/>
  <c r="G40" i="1"/>
  <c r="H40" i="1"/>
  <c r="I40" i="1"/>
  <c r="J40" i="1"/>
  <c r="K40" i="1"/>
  <c r="L40" i="1"/>
  <c r="M40" i="1"/>
  <c r="O40" i="1"/>
  <c r="P40" i="1"/>
  <c r="A41" i="1"/>
  <c r="B41" i="1"/>
  <c r="D41" i="1"/>
  <c r="E41" i="1"/>
  <c r="F41" i="1"/>
  <c r="G41" i="1"/>
  <c r="H41" i="1"/>
  <c r="I41" i="1"/>
  <c r="J41" i="1"/>
  <c r="K41" i="1"/>
  <c r="L41" i="1"/>
  <c r="M41" i="1"/>
  <c r="O41" i="1"/>
  <c r="P41" i="1"/>
  <c r="A42" i="1"/>
  <c r="B42" i="1"/>
  <c r="D42" i="1"/>
  <c r="E42" i="1"/>
  <c r="F42" i="1"/>
  <c r="G42" i="1"/>
  <c r="H42" i="1"/>
  <c r="I42" i="1"/>
  <c r="J42" i="1"/>
  <c r="K42" i="1"/>
  <c r="L42" i="1"/>
  <c r="M42" i="1"/>
  <c r="O42" i="1"/>
  <c r="P42" i="1"/>
  <c r="A43" i="1"/>
  <c r="B43" i="1"/>
  <c r="D43" i="1"/>
  <c r="E43" i="1"/>
  <c r="F43" i="1"/>
  <c r="G43" i="1"/>
  <c r="H43" i="1"/>
  <c r="I43" i="1"/>
  <c r="J43" i="1"/>
  <c r="K43" i="1"/>
  <c r="L43" i="1"/>
  <c r="M43" i="1"/>
  <c r="O43" i="1"/>
  <c r="P43" i="1"/>
  <c r="A44" i="1"/>
  <c r="B44" i="1"/>
  <c r="D44" i="1"/>
  <c r="E44" i="1"/>
  <c r="F44" i="1"/>
  <c r="G44" i="1"/>
  <c r="H44" i="1"/>
  <c r="I44" i="1"/>
  <c r="J44" i="1"/>
  <c r="K44" i="1"/>
  <c r="L44" i="1"/>
  <c r="M44" i="1"/>
  <c r="O44" i="1"/>
  <c r="P44" i="1"/>
  <c r="A45" i="1"/>
  <c r="B45" i="1"/>
  <c r="D45" i="1"/>
  <c r="E45" i="1"/>
  <c r="F45" i="1"/>
  <c r="G45" i="1"/>
  <c r="H45" i="1"/>
  <c r="I45" i="1"/>
  <c r="J45" i="1"/>
  <c r="K45" i="1"/>
  <c r="L45" i="1"/>
  <c r="M45" i="1"/>
  <c r="O45" i="1"/>
  <c r="P45" i="1"/>
  <c r="A46" i="1"/>
  <c r="B46" i="1"/>
  <c r="D46" i="1"/>
  <c r="E46" i="1"/>
  <c r="F46" i="1"/>
  <c r="G46" i="1"/>
  <c r="H46" i="1"/>
  <c r="I46" i="1"/>
  <c r="J46" i="1"/>
  <c r="K46" i="1"/>
  <c r="L46" i="1"/>
  <c r="M46" i="1"/>
  <c r="O46" i="1"/>
  <c r="P46" i="1"/>
  <c r="A47" i="1"/>
  <c r="B47" i="1"/>
  <c r="D47" i="1"/>
  <c r="E47" i="1"/>
  <c r="F47" i="1"/>
  <c r="G47" i="1"/>
  <c r="H47" i="1"/>
  <c r="I47" i="1"/>
  <c r="J47" i="1"/>
  <c r="K47" i="1"/>
  <c r="L47" i="1"/>
  <c r="M47" i="1"/>
  <c r="O47" i="1"/>
  <c r="P47" i="1"/>
  <c r="A48" i="1"/>
  <c r="B48" i="1"/>
  <c r="D48" i="1"/>
  <c r="E48" i="1"/>
  <c r="F48" i="1"/>
  <c r="G48" i="1"/>
  <c r="H48" i="1"/>
  <c r="I48" i="1"/>
  <c r="J48" i="1"/>
  <c r="K48" i="1"/>
  <c r="L48" i="1"/>
  <c r="M48" i="1"/>
  <c r="O48" i="1"/>
  <c r="P48" i="1"/>
  <c r="A49" i="1"/>
  <c r="B49" i="1"/>
  <c r="D49" i="1"/>
  <c r="E49" i="1"/>
  <c r="F49" i="1"/>
  <c r="G49" i="1"/>
  <c r="H49" i="1"/>
  <c r="I49" i="1"/>
  <c r="J49" i="1"/>
  <c r="K49" i="1"/>
  <c r="L49" i="1"/>
  <c r="M49" i="1"/>
  <c r="O49" i="1"/>
  <c r="P49" i="1"/>
  <c r="A50" i="1"/>
  <c r="B50" i="1"/>
  <c r="D50" i="1"/>
  <c r="E50" i="1"/>
  <c r="F50" i="1"/>
  <c r="G50" i="1"/>
  <c r="H50" i="1"/>
  <c r="I50" i="1"/>
  <c r="J50" i="1"/>
  <c r="K50" i="1"/>
  <c r="L50" i="1"/>
  <c r="M50" i="1"/>
  <c r="O50" i="1"/>
  <c r="P50" i="1"/>
  <c r="A51" i="1"/>
  <c r="B51" i="1"/>
  <c r="D51" i="1"/>
  <c r="E51" i="1"/>
  <c r="F51" i="1"/>
  <c r="G51" i="1"/>
  <c r="H51" i="1"/>
  <c r="I51" i="1"/>
  <c r="J51" i="1"/>
  <c r="K51" i="1"/>
  <c r="L51" i="1"/>
  <c r="M51" i="1"/>
  <c r="O51" i="1"/>
  <c r="P51" i="1"/>
  <c r="A52" i="1"/>
  <c r="B52" i="1"/>
  <c r="D52" i="1"/>
  <c r="E52" i="1"/>
  <c r="F52" i="1"/>
  <c r="G52" i="1"/>
  <c r="H52" i="1"/>
  <c r="I52" i="1"/>
  <c r="J52" i="1"/>
  <c r="K52" i="1"/>
  <c r="L52" i="1"/>
  <c r="M52" i="1"/>
  <c r="O52" i="1"/>
  <c r="P52" i="1"/>
  <c r="A53" i="1"/>
  <c r="B53" i="1"/>
  <c r="D53" i="1"/>
  <c r="E53" i="1"/>
  <c r="F53" i="1"/>
  <c r="G53" i="1"/>
  <c r="H53" i="1"/>
  <c r="I53" i="1"/>
  <c r="J53" i="1"/>
  <c r="K53" i="1"/>
  <c r="L53" i="1"/>
  <c r="M53" i="1"/>
  <c r="O53" i="1"/>
  <c r="P53" i="1"/>
  <c r="A54" i="1"/>
  <c r="B54" i="1"/>
  <c r="D54" i="1"/>
  <c r="E54" i="1"/>
  <c r="F54" i="1"/>
  <c r="G54" i="1"/>
  <c r="H54" i="1"/>
  <c r="I54" i="1"/>
  <c r="J54" i="1"/>
  <c r="K54" i="1"/>
  <c r="L54" i="1"/>
  <c r="M54" i="1"/>
  <c r="O54" i="1"/>
  <c r="P54" i="1"/>
  <c r="A55" i="1"/>
  <c r="B55" i="1"/>
  <c r="D55" i="1"/>
  <c r="E55" i="1"/>
  <c r="F55" i="1"/>
  <c r="G55" i="1"/>
  <c r="H55" i="1"/>
  <c r="I55" i="1"/>
  <c r="J55" i="1"/>
  <c r="K55" i="1"/>
  <c r="L55" i="1"/>
  <c r="M55" i="1"/>
  <c r="O55" i="1"/>
  <c r="P55" i="1"/>
  <c r="A56" i="1"/>
  <c r="B56" i="1"/>
  <c r="D56" i="1"/>
  <c r="E56" i="1"/>
  <c r="F56" i="1"/>
  <c r="G56" i="1"/>
  <c r="H56" i="1"/>
  <c r="I56" i="1"/>
  <c r="J56" i="1"/>
  <c r="K56" i="1"/>
  <c r="L56" i="1"/>
  <c r="M56" i="1"/>
  <c r="O56" i="1"/>
  <c r="P56" i="1"/>
  <c r="A57" i="1"/>
  <c r="B57" i="1"/>
  <c r="D57" i="1"/>
  <c r="E57" i="1"/>
  <c r="F57" i="1"/>
  <c r="G57" i="1"/>
  <c r="H57" i="1"/>
  <c r="I57" i="1"/>
  <c r="J57" i="1"/>
  <c r="K57" i="1"/>
  <c r="L57" i="1"/>
  <c r="M57" i="1"/>
  <c r="O57" i="1"/>
  <c r="P57" i="1"/>
  <c r="A58" i="1"/>
  <c r="B58" i="1"/>
  <c r="D58" i="1"/>
  <c r="E58" i="1"/>
  <c r="F58" i="1"/>
  <c r="G58" i="1"/>
  <c r="H58" i="1"/>
  <c r="I58" i="1"/>
  <c r="J58" i="1"/>
  <c r="K58" i="1"/>
  <c r="L58" i="1"/>
  <c r="M58" i="1"/>
  <c r="O58" i="1"/>
  <c r="P58" i="1"/>
  <c r="A59" i="1"/>
  <c r="B59" i="1"/>
  <c r="D59" i="1"/>
  <c r="E59" i="1"/>
  <c r="F59" i="1"/>
  <c r="G59" i="1"/>
  <c r="H59" i="1"/>
  <c r="I59" i="1"/>
  <c r="J59" i="1"/>
  <c r="K59" i="1"/>
  <c r="L59" i="1"/>
  <c r="M59" i="1"/>
  <c r="O59" i="1"/>
  <c r="P59" i="1"/>
  <c r="A60" i="1"/>
  <c r="B60" i="1"/>
  <c r="D60" i="1"/>
  <c r="E60" i="1"/>
  <c r="F60" i="1"/>
  <c r="G60" i="1"/>
  <c r="H60" i="1"/>
  <c r="I60" i="1"/>
  <c r="J60" i="1"/>
  <c r="K60" i="1"/>
  <c r="L60" i="1"/>
  <c r="M60" i="1"/>
  <c r="O60" i="1"/>
  <c r="P60" i="1"/>
  <c r="A61" i="1"/>
  <c r="B61" i="1"/>
  <c r="D61" i="1"/>
  <c r="E61" i="1"/>
  <c r="F61" i="1"/>
  <c r="G61" i="1"/>
  <c r="H61" i="1"/>
  <c r="I61" i="1"/>
  <c r="J61" i="1"/>
  <c r="K61" i="1"/>
  <c r="L61" i="1"/>
  <c r="M61" i="1"/>
  <c r="O61" i="1"/>
  <c r="P61" i="1"/>
  <c r="A62" i="1"/>
  <c r="B62" i="1"/>
  <c r="D62" i="1"/>
  <c r="E62" i="1"/>
  <c r="F62" i="1"/>
  <c r="G62" i="1"/>
  <c r="H62" i="1"/>
  <c r="I62" i="1"/>
  <c r="J62" i="1"/>
  <c r="K62" i="1"/>
  <c r="L62" i="1"/>
  <c r="M62" i="1"/>
  <c r="O62" i="1"/>
  <c r="P62" i="1"/>
  <c r="A63" i="1"/>
  <c r="B63" i="1"/>
  <c r="D63" i="1"/>
  <c r="E63" i="1"/>
  <c r="F63" i="1"/>
  <c r="G63" i="1"/>
  <c r="H63" i="1"/>
  <c r="I63" i="1"/>
  <c r="J63" i="1"/>
  <c r="K63" i="1"/>
  <c r="L63" i="1"/>
  <c r="M63" i="1"/>
  <c r="O63" i="1"/>
  <c r="P63" i="1"/>
  <c r="A64" i="1"/>
  <c r="B64" i="1"/>
  <c r="D64" i="1"/>
  <c r="E64" i="1"/>
  <c r="F64" i="1"/>
  <c r="G64" i="1"/>
  <c r="H64" i="1"/>
  <c r="I64" i="1"/>
  <c r="J64" i="1"/>
  <c r="K64" i="1"/>
  <c r="L64" i="1"/>
  <c r="M64" i="1"/>
  <c r="O64" i="1"/>
  <c r="P64" i="1"/>
  <c r="A65" i="1"/>
  <c r="B65" i="1"/>
  <c r="D65" i="1"/>
  <c r="E65" i="1"/>
  <c r="F65" i="1"/>
  <c r="G65" i="1"/>
  <c r="H65" i="1"/>
  <c r="I65" i="1"/>
  <c r="J65" i="1"/>
  <c r="K65" i="1"/>
  <c r="L65" i="1"/>
  <c r="M65" i="1"/>
  <c r="O65" i="1"/>
  <c r="P65" i="1"/>
  <c r="A66" i="1"/>
  <c r="B66" i="1"/>
  <c r="D66" i="1"/>
  <c r="E66" i="1"/>
  <c r="F66" i="1"/>
  <c r="G66" i="1"/>
  <c r="H66" i="1"/>
  <c r="I66" i="1"/>
  <c r="J66" i="1"/>
  <c r="K66" i="1"/>
  <c r="L66" i="1"/>
  <c r="M66" i="1"/>
  <c r="O66" i="1"/>
  <c r="P66" i="1"/>
  <c r="A67" i="1"/>
  <c r="B67" i="1"/>
  <c r="D67" i="1"/>
  <c r="E67" i="1"/>
  <c r="F67" i="1"/>
  <c r="G67" i="1"/>
  <c r="H67" i="1"/>
  <c r="I67" i="1"/>
  <c r="J67" i="1"/>
  <c r="K67" i="1"/>
  <c r="L67" i="1"/>
  <c r="M67" i="1"/>
  <c r="O67" i="1"/>
  <c r="P67" i="1"/>
  <c r="A68" i="1"/>
  <c r="B68" i="1"/>
  <c r="D68" i="1"/>
  <c r="E68" i="1"/>
  <c r="F68" i="1"/>
  <c r="G68" i="1"/>
  <c r="H68" i="1"/>
  <c r="I68" i="1"/>
  <c r="J68" i="1"/>
  <c r="K68" i="1"/>
  <c r="L68" i="1"/>
  <c r="M68" i="1"/>
  <c r="O68" i="1"/>
  <c r="P68" i="1"/>
  <c r="A69" i="1"/>
  <c r="B69" i="1"/>
  <c r="D69" i="1"/>
  <c r="E69" i="1"/>
  <c r="F69" i="1"/>
  <c r="G69" i="1"/>
  <c r="H69" i="1"/>
  <c r="I69" i="1"/>
  <c r="J69" i="1"/>
  <c r="K69" i="1"/>
  <c r="L69" i="1"/>
  <c r="M69" i="1"/>
  <c r="O69" i="1"/>
  <c r="P69" i="1"/>
  <c r="A70" i="1"/>
  <c r="B70" i="1"/>
  <c r="D70" i="1"/>
  <c r="E70" i="1"/>
  <c r="F70" i="1"/>
  <c r="G70" i="1"/>
  <c r="H70" i="1"/>
  <c r="I70" i="1"/>
  <c r="J70" i="1"/>
  <c r="K70" i="1"/>
  <c r="L70" i="1"/>
  <c r="M70" i="1"/>
  <c r="O70" i="1"/>
  <c r="P70" i="1"/>
  <c r="A71" i="1"/>
  <c r="B71" i="1"/>
  <c r="D71" i="1"/>
  <c r="E71" i="1"/>
  <c r="F71" i="1"/>
  <c r="G71" i="1"/>
  <c r="H71" i="1"/>
  <c r="I71" i="1"/>
  <c r="J71" i="1"/>
  <c r="K71" i="1"/>
  <c r="L71" i="1"/>
  <c r="M71" i="1"/>
  <c r="O71" i="1"/>
  <c r="P71" i="1"/>
  <c r="A72" i="1"/>
  <c r="B72" i="1"/>
  <c r="D72" i="1"/>
  <c r="E72" i="1"/>
  <c r="F72" i="1"/>
  <c r="G72" i="1"/>
  <c r="H72" i="1"/>
  <c r="I72" i="1"/>
  <c r="J72" i="1"/>
  <c r="K72" i="1"/>
  <c r="L72" i="1"/>
  <c r="M72" i="1"/>
  <c r="O72" i="1"/>
  <c r="P72" i="1"/>
  <c r="A73" i="1"/>
  <c r="B73" i="1"/>
  <c r="D73" i="1"/>
  <c r="E73" i="1"/>
  <c r="F73" i="1"/>
  <c r="G73" i="1"/>
  <c r="H73" i="1"/>
  <c r="I73" i="1"/>
  <c r="J73" i="1"/>
  <c r="K73" i="1"/>
  <c r="L73" i="1"/>
  <c r="M73" i="1"/>
  <c r="O73" i="1"/>
  <c r="P73" i="1"/>
  <c r="A74" i="1"/>
  <c r="B74" i="1"/>
  <c r="D74" i="1"/>
  <c r="E74" i="1"/>
  <c r="F74" i="1"/>
  <c r="G74" i="1"/>
  <c r="H74" i="1"/>
  <c r="I74" i="1"/>
  <c r="J74" i="1"/>
  <c r="K74" i="1"/>
  <c r="L74" i="1"/>
  <c r="M74" i="1"/>
  <c r="O74" i="1"/>
  <c r="P74" i="1"/>
  <c r="A75" i="1"/>
  <c r="B75" i="1"/>
  <c r="D75" i="1"/>
  <c r="E75" i="1"/>
  <c r="F75" i="1"/>
  <c r="G75" i="1"/>
  <c r="H75" i="1"/>
  <c r="I75" i="1"/>
  <c r="J75" i="1"/>
  <c r="K75" i="1"/>
  <c r="L75" i="1"/>
  <c r="M75" i="1"/>
  <c r="O75" i="1"/>
  <c r="P75" i="1"/>
  <c r="A76" i="1"/>
  <c r="B76" i="1"/>
  <c r="D76" i="1"/>
  <c r="E76" i="1"/>
  <c r="F76" i="1"/>
  <c r="G76" i="1"/>
  <c r="H76" i="1"/>
  <c r="I76" i="1"/>
  <c r="J76" i="1"/>
  <c r="K76" i="1"/>
  <c r="L76" i="1"/>
  <c r="M76" i="1"/>
  <c r="O76" i="1"/>
  <c r="P76" i="1"/>
  <c r="A77" i="1"/>
  <c r="B77" i="1"/>
  <c r="D77" i="1"/>
  <c r="E77" i="1"/>
  <c r="F77" i="1"/>
  <c r="G77" i="1"/>
  <c r="H77" i="1"/>
  <c r="I77" i="1"/>
  <c r="J77" i="1"/>
  <c r="K77" i="1"/>
  <c r="L77" i="1"/>
  <c r="M77" i="1"/>
  <c r="O77" i="1"/>
  <c r="P77" i="1"/>
  <c r="A78" i="1"/>
  <c r="B78" i="1"/>
  <c r="D78" i="1"/>
  <c r="E78" i="1"/>
  <c r="F78" i="1"/>
  <c r="G78" i="1"/>
  <c r="H78" i="1"/>
  <c r="I78" i="1"/>
  <c r="J78" i="1"/>
  <c r="K78" i="1"/>
  <c r="L78" i="1"/>
  <c r="M78" i="1"/>
  <c r="O78" i="1"/>
  <c r="P78" i="1"/>
  <c r="A79" i="1"/>
  <c r="B79" i="1"/>
  <c r="D79" i="1"/>
  <c r="E79" i="1"/>
  <c r="F79" i="1"/>
  <c r="G79" i="1"/>
  <c r="H79" i="1"/>
  <c r="I79" i="1"/>
  <c r="J79" i="1"/>
  <c r="K79" i="1"/>
  <c r="L79" i="1"/>
  <c r="M79" i="1"/>
  <c r="O79" i="1"/>
  <c r="P79" i="1"/>
  <c r="A80" i="1"/>
  <c r="B80" i="1"/>
  <c r="D80" i="1"/>
  <c r="E80" i="1"/>
  <c r="F80" i="1"/>
  <c r="G80" i="1"/>
  <c r="H80" i="1"/>
  <c r="I80" i="1"/>
  <c r="J80" i="1"/>
  <c r="K80" i="1"/>
  <c r="L80" i="1"/>
  <c r="M80" i="1"/>
  <c r="O80" i="1"/>
  <c r="P80" i="1"/>
  <c r="A81" i="1"/>
  <c r="B81" i="1"/>
  <c r="D81" i="1"/>
  <c r="E81" i="1"/>
  <c r="F81" i="1"/>
  <c r="G81" i="1"/>
  <c r="H81" i="1"/>
  <c r="I81" i="1"/>
  <c r="J81" i="1"/>
  <c r="K81" i="1"/>
  <c r="L81" i="1"/>
  <c r="M81" i="1"/>
  <c r="O81" i="1"/>
  <c r="P81" i="1"/>
  <c r="A82" i="1"/>
  <c r="B82" i="1"/>
  <c r="D82" i="1"/>
  <c r="E82" i="1"/>
  <c r="F82" i="1"/>
  <c r="G82" i="1"/>
  <c r="H82" i="1"/>
  <c r="I82" i="1"/>
  <c r="J82" i="1"/>
  <c r="K82" i="1"/>
  <c r="L82" i="1"/>
  <c r="M82" i="1"/>
  <c r="O82" i="1"/>
  <c r="P82" i="1"/>
  <c r="A83" i="1"/>
  <c r="B83" i="1"/>
  <c r="D83" i="1"/>
  <c r="E83" i="1"/>
  <c r="F83" i="1"/>
  <c r="G83" i="1"/>
  <c r="H83" i="1"/>
  <c r="I83" i="1"/>
  <c r="J83" i="1"/>
  <c r="K83" i="1"/>
  <c r="L83" i="1"/>
  <c r="M83" i="1"/>
  <c r="O83" i="1"/>
  <c r="P83" i="1"/>
  <c r="A84" i="1"/>
  <c r="B84" i="1"/>
  <c r="D84" i="1"/>
  <c r="E84" i="1"/>
  <c r="F84" i="1"/>
  <c r="G84" i="1"/>
  <c r="H84" i="1"/>
  <c r="I84" i="1"/>
  <c r="J84" i="1"/>
  <c r="K84" i="1"/>
  <c r="L84" i="1"/>
  <c r="M84" i="1"/>
  <c r="O84" i="1"/>
  <c r="P84" i="1"/>
  <c r="A85" i="1"/>
  <c r="B85" i="1"/>
  <c r="D85" i="1"/>
  <c r="E85" i="1"/>
  <c r="F85" i="1"/>
  <c r="G85" i="1"/>
  <c r="H85" i="1"/>
  <c r="I85" i="1"/>
  <c r="J85" i="1"/>
  <c r="K85" i="1"/>
  <c r="L85" i="1"/>
  <c r="M85" i="1"/>
  <c r="O85" i="1"/>
  <c r="P85" i="1"/>
  <c r="A86" i="1"/>
  <c r="B86" i="1"/>
  <c r="D86" i="1"/>
  <c r="E86" i="1"/>
  <c r="F86" i="1"/>
  <c r="G86" i="1"/>
  <c r="H86" i="1"/>
  <c r="I86" i="1"/>
  <c r="J86" i="1"/>
  <c r="K86" i="1"/>
  <c r="L86" i="1"/>
  <c r="M86" i="1"/>
  <c r="O86" i="1"/>
  <c r="P86" i="1"/>
  <c r="A87" i="1"/>
  <c r="B87" i="1"/>
  <c r="D87" i="1"/>
  <c r="E87" i="1"/>
  <c r="F87" i="1"/>
  <c r="G87" i="1"/>
  <c r="H87" i="1"/>
  <c r="I87" i="1"/>
  <c r="J87" i="1"/>
  <c r="K87" i="1"/>
  <c r="L87" i="1"/>
  <c r="M87" i="1"/>
  <c r="O87" i="1"/>
  <c r="P87" i="1"/>
  <c r="A88" i="1"/>
  <c r="B88" i="1"/>
  <c r="D88" i="1"/>
  <c r="E88" i="1"/>
  <c r="F88" i="1"/>
  <c r="G88" i="1"/>
  <c r="H88" i="1"/>
  <c r="I88" i="1"/>
  <c r="J88" i="1"/>
  <c r="K88" i="1"/>
  <c r="L88" i="1"/>
  <c r="M88" i="1"/>
  <c r="O88" i="1"/>
  <c r="P88" i="1"/>
  <c r="A89" i="1"/>
  <c r="B89" i="1"/>
  <c r="D89" i="1"/>
  <c r="E89" i="1"/>
  <c r="F89" i="1"/>
  <c r="G89" i="1"/>
  <c r="H89" i="1"/>
  <c r="I89" i="1"/>
  <c r="J89" i="1"/>
  <c r="K89" i="1"/>
  <c r="L89" i="1"/>
  <c r="M89" i="1"/>
  <c r="O89" i="1"/>
  <c r="P89" i="1"/>
  <c r="A90" i="1"/>
  <c r="B90" i="1"/>
  <c r="D90" i="1"/>
  <c r="E90" i="1"/>
  <c r="F90" i="1"/>
  <c r="G90" i="1"/>
  <c r="H90" i="1"/>
  <c r="I90" i="1"/>
  <c r="J90" i="1"/>
  <c r="K90" i="1"/>
  <c r="L90" i="1"/>
  <c r="M90" i="1"/>
  <c r="O90" i="1"/>
  <c r="P90" i="1"/>
  <c r="A91" i="1"/>
  <c r="B91" i="1"/>
  <c r="D91" i="1"/>
  <c r="E91" i="1"/>
  <c r="F91" i="1"/>
  <c r="G91" i="1"/>
  <c r="H91" i="1"/>
  <c r="I91" i="1"/>
  <c r="J91" i="1"/>
  <c r="K91" i="1"/>
  <c r="L91" i="1"/>
  <c r="M91" i="1"/>
  <c r="O91" i="1"/>
  <c r="P91" i="1"/>
  <c r="A92" i="1"/>
  <c r="B92" i="1"/>
  <c r="D92" i="1"/>
  <c r="E92" i="1"/>
  <c r="F92" i="1"/>
  <c r="G92" i="1"/>
  <c r="H92" i="1"/>
  <c r="I92" i="1"/>
  <c r="J92" i="1"/>
  <c r="K92" i="1"/>
  <c r="L92" i="1"/>
  <c r="M92" i="1"/>
  <c r="O92" i="1"/>
  <c r="P92" i="1"/>
  <c r="A93" i="1"/>
  <c r="B93" i="1"/>
  <c r="D93" i="1"/>
  <c r="E93" i="1"/>
  <c r="F93" i="1"/>
  <c r="G93" i="1"/>
  <c r="H93" i="1"/>
  <c r="I93" i="1"/>
  <c r="J93" i="1"/>
  <c r="K93" i="1"/>
  <c r="L93" i="1"/>
  <c r="M93" i="1"/>
  <c r="O93" i="1"/>
  <c r="P93" i="1"/>
  <c r="A94" i="1"/>
  <c r="B94" i="1"/>
  <c r="D94" i="1"/>
  <c r="E94" i="1"/>
  <c r="F94" i="1"/>
  <c r="G94" i="1"/>
  <c r="H94" i="1"/>
  <c r="I94" i="1"/>
  <c r="J94" i="1"/>
  <c r="K94" i="1"/>
  <c r="L94" i="1"/>
  <c r="M94" i="1"/>
  <c r="O94" i="1"/>
  <c r="P94" i="1"/>
  <c r="A95" i="1"/>
  <c r="B95" i="1"/>
  <c r="D95" i="1"/>
  <c r="E95" i="1"/>
  <c r="F95" i="1"/>
  <c r="G95" i="1"/>
  <c r="H95" i="1"/>
  <c r="I95" i="1"/>
  <c r="J95" i="1"/>
  <c r="K95" i="1"/>
  <c r="L95" i="1"/>
  <c r="M95" i="1"/>
  <c r="O95" i="1"/>
  <c r="P95" i="1"/>
  <c r="A96" i="1"/>
  <c r="B96" i="1"/>
  <c r="D96" i="1"/>
  <c r="E96" i="1"/>
  <c r="F96" i="1"/>
  <c r="G96" i="1"/>
  <c r="H96" i="1"/>
  <c r="I96" i="1"/>
  <c r="J96" i="1"/>
  <c r="K96" i="1"/>
  <c r="L96" i="1"/>
  <c r="M96" i="1"/>
  <c r="O96" i="1"/>
  <c r="P96" i="1"/>
  <c r="A97" i="1"/>
  <c r="B97" i="1"/>
  <c r="D97" i="1"/>
  <c r="E97" i="1"/>
  <c r="F97" i="1"/>
  <c r="G97" i="1"/>
  <c r="H97" i="1"/>
  <c r="I97" i="1"/>
  <c r="J97" i="1"/>
  <c r="K97" i="1"/>
  <c r="L97" i="1"/>
  <c r="M97" i="1"/>
  <c r="O97" i="1"/>
  <c r="P97" i="1"/>
  <c r="A98" i="1"/>
  <c r="B98" i="1"/>
  <c r="D98" i="1"/>
  <c r="E98" i="1"/>
  <c r="F98" i="1"/>
  <c r="G98" i="1"/>
  <c r="H98" i="1"/>
  <c r="I98" i="1"/>
  <c r="J98" i="1"/>
  <c r="K98" i="1"/>
  <c r="L98" i="1"/>
  <c r="M98" i="1"/>
  <c r="O98" i="1"/>
  <c r="P98" i="1"/>
  <c r="A99" i="1"/>
  <c r="B99" i="1"/>
  <c r="D99" i="1"/>
  <c r="E99" i="1"/>
  <c r="F99" i="1"/>
  <c r="G99" i="1"/>
  <c r="H99" i="1"/>
  <c r="I99" i="1"/>
  <c r="J99" i="1"/>
  <c r="K99" i="1"/>
  <c r="L99" i="1"/>
  <c r="M99" i="1"/>
  <c r="O99" i="1"/>
  <c r="P99" i="1"/>
  <c r="A100" i="1"/>
  <c r="B100" i="1"/>
  <c r="D100" i="1"/>
  <c r="E100" i="1"/>
  <c r="F100" i="1"/>
  <c r="G100" i="1"/>
  <c r="H100" i="1"/>
  <c r="I100" i="1"/>
  <c r="J100" i="1"/>
  <c r="K100" i="1"/>
  <c r="L100" i="1"/>
  <c r="M100" i="1"/>
  <c r="O100" i="1"/>
  <c r="P100" i="1"/>
  <c r="A101" i="1"/>
  <c r="B101" i="1"/>
  <c r="D101" i="1"/>
  <c r="E101" i="1"/>
  <c r="F101" i="1"/>
  <c r="G101" i="1"/>
  <c r="H101" i="1"/>
  <c r="I101" i="1"/>
  <c r="J101" i="1"/>
  <c r="K101" i="1"/>
  <c r="L101" i="1"/>
  <c r="M101" i="1"/>
  <c r="O101" i="1"/>
  <c r="P101" i="1"/>
  <c r="A102" i="1"/>
  <c r="B102" i="1"/>
  <c r="D102" i="1"/>
  <c r="E102" i="1"/>
  <c r="F102" i="1"/>
  <c r="G102" i="1"/>
  <c r="H102" i="1"/>
  <c r="I102" i="1"/>
  <c r="J102" i="1"/>
  <c r="K102" i="1"/>
  <c r="L102" i="1"/>
  <c r="M102" i="1"/>
  <c r="O102" i="1"/>
  <c r="P102" i="1"/>
  <c r="A103" i="1"/>
  <c r="B103" i="1"/>
  <c r="D103" i="1"/>
  <c r="E103" i="1"/>
  <c r="F103" i="1"/>
  <c r="G103" i="1"/>
  <c r="H103" i="1"/>
  <c r="I103" i="1"/>
  <c r="J103" i="1"/>
  <c r="K103" i="1"/>
  <c r="L103" i="1"/>
  <c r="M103" i="1"/>
  <c r="O103" i="1"/>
  <c r="P103" i="1"/>
  <c r="A104" i="1"/>
  <c r="B104" i="1"/>
  <c r="D104" i="1"/>
  <c r="E104" i="1"/>
  <c r="F104" i="1"/>
  <c r="G104" i="1"/>
  <c r="H104" i="1"/>
  <c r="I104" i="1"/>
  <c r="J104" i="1"/>
  <c r="K104" i="1"/>
  <c r="L104" i="1"/>
  <c r="M104" i="1"/>
  <c r="O104" i="1"/>
  <c r="P104" i="1"/>
  <c r="A105" i="1"/>
  <c r="B105" i="1"/>
  <c r="D105" i="1"/>
  <c r="E105" i="1"/>
  <c r="F105" i="1"/>
  <c r="G105" i="1"/>
  <c r="H105" i="1"/>
  <c r="I105" i="1"/>
  <c r="J105" i="1"/>
  <c r="K105" i="1"/>
  <c r="L105" i="1"/>
  <c r="M105" i="1"/>
  <c r="O105" i="1"/>
  <c r="P105" i="1"/>
  <c r="A106" i="1"/>
  <c r="B106" i="1"/>
  <c r="D106" i="1"/>
  <c r="E106" i="1"/>
  <c r="F106" i="1"/>
  <c r="G106" i="1"/>
  <c r="H106" i="1"/>
  <c r="I106" i="1"/>
  <c r="J106" i="1"/>
  <c r="K106" i="1"/>
  <c r="L106" i="1"/>
  <c r="M106" i="1"/>
  <c r="O106" i="1"/>
  <c r="P106" i="1"/>
  <c r="A107" i="1"/>
  <c r="B107" i="1"/>
  <c r="D107" i="1"/>
  <c r="E107" i="1"/>
  <c r="F107" i="1"/>
  <c r="G107" i="1"/>
  <c r="H107" i="1"/>
  <c r="I107" i="1"/>
  <c r="J107" i="1"/>
  <c r="K107" i="1"/>
  <c r="L107" i="1"/>
  <c r="M107" i="1"/>
  <c r="O107" i="1"/>
  <c r="P107" i="1"/>
  <c r="A108" i="1"/>
  <c r="B108" i="1"/>
  <c r="D108" i="1"/>
  <c r="E108" i="1"/>
  <c r="F108" i="1"/>
  <c r="G108" i="1"/>
  <c r="H108" i="1"/>
  <c r="I108" i="1"/>
  <c r="J108" i="1"/>
  <c r="K108" i="1"/>
  <c r="L108" i="1"/>
  <c r="M108" i="1"/>
  <c r="O108" i="1"/>
  <c r="P108" i="1"/>
  <c r="A109" i="1"/>
  <c r="B109" i="1"/>
  <c r="D109" i="1"/>
  <c r="E109" i="1"/>
  <c r="F109" i="1"/>
  <c r="G109" i="1"/>
  <c r="H109" i="1"/>
  <c r="I109" i="1"/>
  <c r="J109" i="1"/>
  <c r="K109" i="1"/>
  <c r="L109" i="1"/>
  <c r="M109" i="1"/>
  <c r="O109" i="1"/>
  <c r="P109" i="1"/>
  <c r="A110" i="1"/>
  <c r="B110" i="1"/>
  <c r="D110" i="1"/>
  <c r="E110" i="1"/>
  <c r="F110" i="1"/>
  <c r="G110" i="1"/>
  <c r="H110" i="1"/>
  <c r="I110" i="1"/>
  <c r="J110" i="1"/>
  <c r="K110" i="1"/>
  <c r="L110" i="1"/>
  <c r="M110" i="1"/>
  <c r="O110" i="1"/>
  <c r="P110" i="1"/>
  <c r="A111" i="1"/>
  <c r="B111" i="1"/>
  <c r="D111" i="1"/>
  <c r="E111" i="1"/>
  <c r="F111" i="1"/>
  <c r="G111" i="1"/>
  <c r="H111" i="1"/>
  <c r="I111" i="1"/>
  <c r="J111" i="1"/>
  <c r="K111" i="1"/>
  <c r="L111" i="1"/>
  <c r="M111" i="1"/>
  <c r="O111" i="1"/>
  <c r="P111" i="1"/>
  <c r="A112" i="1"/>
  <c r="B112" i="1"/>
  <c r="D112" i="1"/>
  <c r="E112" i="1"/>
  <c r="F112" i="1"/>
  <c r="G112" i="1"/>
  <c r="H112" i="1"/>
  <c r="I112" i="1"/>
  <c r="J112" i="1"/>
  <c r="K112" i="1"/>
  <c r="L112" i="1"/>
  <c r="M112" i="1"/>
  <c r="O112" i="1"/>
  <c r="P112" i="1"/>
  <c r="A113" i="1"/>
  <c r="B113" i="1"/>
  <c r="D113" i="1"/>
  <c r="E113" i="1"/>
  <c r="F113" i="1"/>
  <c r="G113" i="1"/>
  <c r="H113" i="1"/>
  <c r="I113" i="1"/>
  <c r="J113" i="1"/>
  <c r="K113" i="1"/>
  <c r="L113" i="1"/>
  <c r="M113" i="1"/>
  <c r="O113" i="1"/>
  <c r="P113" i="1"/>
  <c r="A114" i="1"/>
  <c r="B114" i="1"/>
  <c r="D114" i="1"/>
  <c r="E114" i="1"/>
  <c r="F114" i="1"/>
  <c r="G114" i="1"/>
  <c r="H114" i="1"/>
  <c r="I114" i="1"/>
  <c r="J114" i="1"/>
  <c r="K114" i="1"/>
  <c r="L114" i="1"/>
  <c r="M114" i="1"/>
  <c r="O114" i="1"/>
  <c r="P114" i="1"/>
  <c r="A115" i="1"/>
  <c r="B115" i="1"/>
  <c r="D115" i="1"/>
  <c r="E115" i="1"/>
  <c r="F115" i="1"/>
  <c r="G115" i="1"/>
  <c r="H115" i="1"/>
  <c r="I115" i="1"/>
  <c r="J115" i="1"/>
  <c r="K115" i="1"/>
  <c r="L115" i="1"/>
  <c r="M115" i="1"/>
  <c r="O115" i="1"/>
  <c r="P115" i="1"/>
  <c r="A116" i="1"/>
  <c r="B116" i="1"/>
  <c r="D116" i="1"/>
  <c r="E116" i="1"/>
  <c r="F116" i="1"/>
  <c r="G116" i="1"/>
  <c r="H116" i="1"/>
  <c r="I116" i="1"/>
  <c r="J116" i="1"/>
  <c r="K116" i="1"/>
  <c r="L116" i="1"/>
  <c r="M116" i="1"/>
  <c r="O116" i="1"/>
  <c r="P116" i="1"/>
  <c r="A117" i="1"/>
  <c r="B117" i="1"/>
  <c r="D117" i="1"/>
  <c r="E117" i="1"/>
  <c r="F117" i="1"/>
  <c r="G117" i="1"/>
  <c r="H117" i="1"/>
  <c r="I117" i="1"/>
  <c r="J117" i="1"/>
  <c r="K117" i="1"/>
  <c r="L117" i="1"/>
  <c r="M117" i="1"/>
  <c r="O117" i="1"/>
  <c r="P117" i="1"/>
  <c r="A118" i="1"/>
  <c r="B118" i="1"/>
  <c r="D118" i="1"/>
  <c r="E118" i="1"/>
  <c r="F118" i="1"/>
  <c r="G118" i="1"/>
  <c r="H118" i="1"/>
  <c r="I118" i="1"/>
  <c r="J118" i="1"/>
  <c r="K118" i="1"/>
  <c r="L118" i="1"/>
  <c r="M118" i="1"/>
  <c r="O118" i="1"/>
  <c r="P118" i="1"/>
  <c r="A119" i="1"/>
  <c r="B119" i="1"/>
  <c r="D119" i="1"/>
  <c r="E119" i="1"/>
  <c r="F119" i="1"/>
  <c r="G119" i="1"/>
  <c r="H119" i="1"/>
  <c r="I119" i="1"/>
  <c r="J119" i="1"/>
  <c r="K119" i="1"/>
  <c r="L119" i="1"/>
  <c r="M119" i="1"/>
  <c r="O119" i="1"/>
  <c r="P119" i="1"/>
  <c r="A120" i="1"/>
  <c r="B120" i="1"/>
  <c r="D120" i="1"/>
  <c r="E120" i="1"/>
  <c r="F120" i="1"/>
  <c r="G120" i="1"/>
  <c r="H120" i="1"/>
  <c r="I120" i="1"/>
  <c r="J120" i="1"/>
  <c r="K120" i="1"/>
  <c r="L120" i="1"/>
  <c r="M120" i="1"/>
  <c r="O120" i="1"/>
  <c r="P120" i="1"/>
  <c r="A121" i="1"/>
  <c r="B121" i="1"/>
  <c r="D121" i="1"/>
  <c r="E121" i="1"/>
  <c r="F121" i="1"/>
  <c r="G121" i="1"/>
  <c r="H121" i="1"/>
  <c r="I121" i="1"/>
  <c r="J121" i="1"/>
  <c r="K121" i="1"/>
  <c r="L121" i="1"/>
  <c r="M121" i="1"/>
  <c r="O121" i="1"/>
  <c r="P121" i="1"/>
  <c r="A122" i="1"/>
  <c r="B122" i="1"/>
  <c r="D122" i="1"/>
  <c r="E122" i="1"/>
  <c r="F122" i="1"/>
  <c r="G122" i="1"/>
  <c r="H122" i="1"/>
  <c r="I122" i="1"/>
  <c r="J122" i="1"/>
  <c r="K122" i="1"/>
  <c r="L122" i="1"/>
  <c r="M122" i="1"/>
  <c r="O122" i="1"/>
  <c r="P122" i="1"/>
  <c r="A123" i="1"/>
  <c r="B123" i="1"/>
  <c r="D123" i="1"/>
  <c r="E123" i="1"/>
  <c r="F123" i="1"/>
  <c r="G123" i="1"/>
  <c r="H123" i="1"/>
  <c r="I123" i="1"/>
  <c r="J123" i="1"/>
  <c r="K123" i="1"/>
  <c r="L123" i="1"/>
  <c r="M123" i="1"/>
  <c r="O123" i="1"/>
  <c r="P123" i="1"/>
  <c r="A124" i="1"/>
  <c r="B124" i="1"/>
  <c r="D124" i="1"/>
  <c r="E124" i="1"/>
  <c r="F124" i="1"/>
  <c r="G124" i="1"/>
  <c r="H124" i="1"/>
  <c r="I124" i="1"/>
  <c r="J124" i="1"/>
  <c r="K124" i="1"/>
  <c r="L124" i="1"/>
  <c r="M124" i="1"/>
  <c r="O124" i="1"/>
  <c r="P124" i="1"/>
  <c r="A125" i="1"/>
  <c r="B125" i="1"/>
  <c r="D125" i="1"/>
  <c r="E125" i="1"/>
  <c r="F125" i="1"/>
  <c r="G125" i="1"/>
  <c r="H125" i="1"/>
  <c r="I125" i="1"/>
  <c r="J125" i="1"/>
  <c r="K125" i="1"/>
  <c r="L125" i="1"/>
  <c r="M125" i="1"/>
  <c r="O125" i="1"/>
  <c r="P125" i="1"/>
  <c r="A126" i="1"/>
  <c r="B126" i="1"/>
  <c r="D126" i="1"/>
  <c r="E126" i="1"/>
  <c r="F126" i="1"/>
  <c r="G126" i="1"/>
  <c r="H126" i="1"/>
  <c r="I126" i="1"/>
  <c r="J126" i="1"/>
  <c r="K126" i="1"/>
  <c r="L126" i="1"/>
  <c r="M126" i="1"/>
  <c r="O126" i="1"/>
  <c r="P126" i="1"/>
  <c r="A127" i="1"/>
  <c r="B127" i="1"/>
  <c r="D127" i="1"/>
  <c r="E127" i="1"/>
  <c r="F127" i="1"/>
  <c r="G127" i="1"/>
  <c r="H127" i="1"/>
  <c r="I127" i="1"/>
  <c r="J127" i="1"/>
  <c r="K127" i="1"/>
  <c r="L127" i="1"/>
  <c r="M127" i="1"/>
  <c r="O127" i="1"/>
  <c r="P127" i="1"/>
  <c r="A128" i="1"/>
  <c r="B128" i="1"/>
  <c r="D128" i="1"/>
  <c r="E128" i="1"/>
  <c r="F128" i="1"/>
  <c r="G128" i="1"/>
  <c r="H128" i="1"/>
  <c r="I128" i="1"/>
  <c r="J128" i="1"/>
  <c r="K128" i="1"/>
  <c r="L128" i="1"/>
  <c r="M128" i="1"/>
  <c r="O128" i="1"/>
  <c r="P128" i="1"/>
  <c r="A129" i="1"/>
  <c r="B129" i="1"/>
  <c r="D129" i="1"/>
  <c r="E129" i="1"/>
  <c r="F129" i="1"/>
  <c r="G129" i="1"/>
  <c r="H129" i="1"/>
  <c r="I129" i="1"/>
  <c r="J129" i="1"/>
  <c r="K129" i="1"/>
  <c r="L129" i="1"/>
  <c r="M129" i="1"/>
  <c r="O129" i="1"/>
  <c r="P129" i="1"/>
  <c r="A130" i="1"/>
  <c r="B130" i="1"/>
  <c r="D130" i="1"/>
  <c r="E130" i="1"/>
  <c r="F130" i="1"/>
  <c r="G130" i="1"/>
  <c r="H130" i="1"/>
  <c r="I130" i="1"/>
  <c r="J130" i="1"/>
  <c r="K130" i="1"/>
  <c r="L130" i="1"/>
  <c r="M130" i="1"/>
  <c r="O130" i="1"/>
  <c r="P130" i="1"/>
  <c r="A131" i="1"/>
  <c r="B131" i="1"/>
  <c r="D131" i="1"/>
  <c r="E131" i="1"/>
  <c r="F131" i="1"/>
  <c r="G131" i="1"/>
  <c r="H131" i="1"/>
  <c r="I131" i="1"/>
  <c r="J131" i="1"/>
  <c r="K131" i="1"/>
  <c r="L131" i="1"/>
  <c r="M131" i="1"/>
  <c r="O131" i="1"/>
  <c r="P131" i="1"/>
  <c r="A132" i="1"/>
  <c r="B132" i="1"/>
  <c r="D132" i="1"/>
  <c r="E132" i="1"/>
  <c r="F132" i="1"/>
  <c r="G132" i="1"/>
  <c r="H132" i="1"/>
  <c r="I132" i="1"/>
  <c r="J132" i="1"/>
  <c r="K132" i="1"/>
  <c r="L132" i="1"/>
  <c r="M132" i="1"/>
  <c r="O132" i="1"/>
  <c r="P132" i="1"/>
  <c r="A133" i="1"/>
  <c r="B133" i="1"/>
  <c r="D133" i="1"/>
  <c r="E133" i="1"/>
  <c r="F133" i="1"/>
  <c r="G133" i="1"/>
  <c r="H133" i="1"/>
  <c r="I133" i="1"/>
  <c r="J133" i="1"/>
  <c r="K133" i="1"/>
  <c r="L133" i="1"/>
  <c r="M133" i="1"/>
  <c r="O133" i="1"/>
  <c r="P133" i="1"/>
  <c r="A134" i="1"/>
  <c r="B134" i="1"/>
  <c r="D134" i="1"/>
  <c r="E134" i="1"/>
  <c r="F134" i="1"/>
  <c r="G134" i="1"/>
  <c r="H134" i="1"/>
  <c r="I134" i="1"/>
  <c r="J134" i="1"/>
  <c r="K134" i="1"/>
  <c r="L134" i="1"/>
  <c r="M134" i="1"/>
  <c r="O134" i="1"/>
  <c r="P134" i="1"/>
  <c r="A135" i="1"/>
  <c r="B135" i="1"/>
  <c r="D135" i="1"/>
  <c r="E135" i="1"/>
  <c r="F135" i="1"/>
  <c r="G135" i="1"/>
  <c r="H135" i="1"/>
  <c r="I135" i="1"/>
  <c r="J135" i="1"/>
  <c r="K135" i="1"/>
  <c r="L135" i="1"/>
  <c r="M135" i="1"/>
  <c r="O135" i="1"/>
  <c r="P135" i="1"/>
  <c r="A136" i="1"/>
  <c r="B136" i="1"/>
  <c r="D136" i="1"/>
  <c r="E136" i="1"/>
  <c r="F136" i="1"/>
  <c r="G136" i="1"/>
  <c r="H136" i="1"/>
  <c r="I136" i="1"/>
  <c r="J136" i="1"/>
  <c r="K136" i="1"/>
  <c r="L136" i="1"/>
  <c r="M136" i="1"/>
  <c r="O136" i="1"/>
  <c r="P136" i="1"/>
  <c r="A137" i="1"/>
  <c r="B137" i="1"/>
  <c r="D137" i="1"/>
  <c r="E137" i="1"/>
  <c r="F137" i="1"/>
  <c r="G137" i="1"/>
  <c r="H137" i="1"/>
  <c r="I137" i="1"/>
  <c r="J137" i="1"/>
  <c r="K137" i="1"/>
  <c r="L137" i="1"/>
  <c r="M137" i="1"/>
  <c r="O137" i="1"/>
  <c r="P137" i="1"/>
  <c r="A138" i="1"/>
  <c r="B138" i="1"/>
  <c r="D138" i="1"/>
  <c r="E138" i="1"/>
  <c r="F138" i="1"/>
  <c r="G138" i="1"/>
  <c r="H138" i="1"/>
  <c r="I138" i="1"/>
  <c r="J138" i="1"/>
  <c r="K138" i="1"/>
  <c r="L138" i="1"/>
  <c r="M138" i="1"/>
  <c r="O138" i="1"/>
  <c r="P138" i="1"/>
  <c r="A139" i="1"/>
  <c r="B139" i="1"/>
  <c r="D139" i="1"/>
  <c r="E139" i="1"/>
  <c r="F139" i="1"/>
  <c r="G139" i="1"/>
  <c r="H139" i="1"/>
  <c r="I139" i="1"/>
  <c r="J139" i="1"/>
  <c r="K139" i="1"/>
  <c r="L139" i="1"/>
  <c r="M139" i="1"/>
  <c r="O139" i="1"/>
  <c r="P139" i="1"/>
  <c r="A140" i="1"/>
  <c r="B140" i="1"/>
  <c r="D140" i="1"/>
  <c r="E140" i="1"/>
  <c r="F140" i="1"/>
  <c r="G140" i="1"/>
  <c r="H140" i="1"/>
  <c r="I140" i="1"/>
  <c r="J140" i="1"/>
  <c r="K140" i="1"/>
  <c r="L140" i="1"/>
  <c r="M140" i="1"/>
  <c r="O140" i="1"/>
  <c r="P140" i="1"/>
  <c r="A141" i="1"/>
  <c r="B141" i="1"/>
  <c r="D141" i="1"/>
  <c r="E141" i="1"/>
  <c r="F141" i="1"/>
  <c r="G141" i="1"/>
  <c r="H141" i="1"/>
  <c r="I141" i="1"/>
  <c r="J141" i="1"/>
  <c r="K141" i="1"/>
  <c r="L141" i="1"/>
  <c r="M141" i="1"/>
  <c r="O141" i="1"/>
  <c r="P141" i="1"/>
  <c r="A142" i="1"/>
  <c r="B142" i="1"/>
  <c r="D142" i="1"/>
  <c r="E142" i="1"/>
  <c r="F142" i="1"/>
  <c r="G142" i="1"/>
  <c r="H142" i="1"/>
  <c r="I142" i="1"/>
  <c r="J142" i="1"/>
  <c r="K142" i="1"/>
  <c r="L142" i="1"/>
  <c r="M142" i="1"/>
  <c r="O142" i="1"/>
  <c r="P142" i="1"/>
  <c r="A143" i="1"/>
  <c r="B143" i="1"/>
  <c r="D143" i="1"/>
  <c r="E143" i="1"/>
  <c r="F143" i="1"/>
  <c r="G143" i="1"/>
  <c r="H143" i="1"/>
  <c r="I143" i="1"/>
  <c r="J143" i="1"/>
  <c r="K143" i="1"/>
  <c r="L143" i="1"/>
  <c r="M143" i="1"/>
  <c r="O143" i="1"/>
  <c r="P143" i="1"/>
  <c r="A144" i="1"/>
  <c r="B144" i="1"/>
  <c r="D144" i="1"/>
  <c r="E144" i="1"/>
  <c r="F144" i="1"/>
  <c r="G144" i="1"/>
  <c r="H144" i="1"/>
  <c r="I144" i="1"/>
  <c r="J144" i="1"/>
  <c r="K144" i="1"/>
  <c r="L144" i="1"/>
  <c r="M144" i="1"/>
  <c r="O144" i="1"/>
  <c r="P144" i="1"/>
  <c r="A145" i="1"/>
  <c r="B145" i="1"/>
  <c r="D145" i="1"/>
  <c r="E145" i="1"/>
  <c r="F145" i="1"/>
  <c r="G145" i="1"/>
  <c r="H145" i="1"/>
  <c r="I145" i="1"/>
  <c r="J145" i="1"/>
  <c r="K145" i="1"/>
  <c r="L145" i="1"/>
  <c r="M145" i="1"/>
  <c r="O145" i="1"/>
  <c r="P145" i="1"/>
  <c r="A146" i="1"/>
  <c r="B146" i="1"/>
  <c r="D146" i="1"/>
  <c r="E146" i="1"/>
  <c r="F146" i="1"/>
  <c r="G146" i="1"/>
  <c r="H146" i="1"/>
  <c r="I146" i="1"/>
  <c r="J146" i="1"/>
  <c r="K146" i="1"/>
  <c r="L146" i="1"/>
  <c r="M146" i="1"/>
  <c r="O146" i="1"/>
  <c r="P146" i="1"/>
  <c r="A147" i="1"/>
  <c r="B147" i="1"/>
  <c r="D147" i="1"/>
  <c r="E147" i="1"/>
  <c r="F147" i="1"/>
  <c r="G147" i="1"/>
  <c r="H147" i="1"/>
  <c r="I147" i="1"/>
  <c r="J147" i="1"/>
  <c r="K147" i="1"/>
  <c r="L147" i="1"/>
  <c r="M147" i="1"/>
  <c r="O147" i="1"/>
  <c r="P147" i="1"/>
  <c r="A148" i="1"/>
  <c r="B148" i="1"/>
  <c r="D148" i="1"/>
  <c r="E148" i="1"/>
  <c r="F148" i="1"/>
  <c r="G148" i="1"/>
  <c r="H148" i="1"/>
  <c r="I148" i="1"/>
  <c r="J148" i="1"/>
  <c r="K148" i="1"/>
  <c r="L148" i="1"/>
  <c r="M148" i="1"/>
  <c r="O148" i="1"/>
  <c r="P148" i="1"/>
  <c r="A149" i="1"/>
  <c r="B149" i="1"/>
  <c r="D149" i="1"/>
  <c r="E149" i="1"/>
  <c r="F149" i="1"/>
  <c r="G149" i="1"/>
  <c r="H149" i="1"/>
  <c r="I149" i="1"/>
  <c r="J149" i="1"/>
  <c r="K149" i="1"/>
  <c r="L149" i="1"/>
  <c r="M149" i="1"/>
  <c r="O149" i="1"/>
  <c r="P149" i="1"/>
  <c r="A150" i="1"/>
  <c r="B150" i="1"/>
  <c r="D150" i="1"/>
  <c r="E150" i="1"/>
  <c r="F150" i="1"/>
  <c r="G150" i="1"/>
  <c r="H150" i="1"/>
  <c r="I150" i="1"/>
  <c r="J150" i="1"/>
  <c r="K150" i="1"/>
  <c r="L150" i="1"/>
  <c r="M150" i="1"/>
  <c r="O150" i="1"/>
  <c r="P150" i="1"/>
  <c r="A151" i="1"/>
  <c r="B151" i="1"/>
  <c r="D151" i="1"/>
  <c r="E151" i="1"/>
  <c r="F151" i="1"/>
  <c r="G151" i="1"/>
  <c r="H151" i="1"/>
  <c r="I151" i="1"/>
  <c r="J151" i="1"/>
  <c r="K151" i="1"/>
  <c r="L151" i="1"/>
  <c r="M151" i="1"/>
  <c r="O151" i="1"/>
  <c r="P151" i="1"/>
  <c r="A152" i="1"/>
  <c r="B152" i="1"/>
  <c r="D152" i="1"/>
  <c r="E152" i="1"/>
  <c r="F152" i="1"/>
  <c r="G152" i="1"/>
  <c r="H152" i="1"/>
  <c r="I152" i="1"/>
  <c r="J152" i="1"/>
  <c r="K152" i="1"/>
  <c r="L152" i="1"/>
  <c r="M152" i="1"/>
  <c r="O152" i="1"/>
  <c r="P152" i="1"/>
  <c r="A153" i="1"/>
  <c r="B153" i="1"/>
  <c r="D153" i="1"/>
  <c r="E153" i="1"/>
  <c r="F153" i="1"/>
  <c r="G153" i="1"/>
  <c r="H153" i="1"/>
  <c r="I153" i="1"/>
  <c r="J153" i="1"/>
  <c r="K153" i="1"/>
  <c r="L153" i="1"/>
  <c r="M153" i="1"/>
  <c r="O153" i="1"/>
  <c r="P153" i="1"/>
  <c r="A154" i="1"/>
  <c r="B154" i="1"/>
  <c r="D154" i="1"/>
  <c r="E154" i="1"/>
  <c r="F154" i="1"/>
  <c r="G154" i="1"/>
  <c r="H154" i="1"/>
  <c r="I154" i="1"/>
  <c r="J154" i="1"/>
  <c r="K154" i="1"/>
  <c r="L154" i="1"/>
  <c r="M154" i="1"/>
  <c r="O154" i="1"/>
  <c r="P154" i="1"/>
  <c r="A155" i="1"/>
  <c r="B155" i="1"/>
  <c r="D155" i="1"/>
  <c r="E155" i="1"/>
  <c r="F155" i="1"/>
  <c r="G155" i="1"/>
  <c r="H155" i="1"/>
  <c r="I155" i="1"/>
  <c r="J155" i="1"/>
  <c r="K155" i="1"/>
  <c r="L155" i="1"/>
  <c r="M155" i="1"/>
  <c r="O155" i="1"/>
  <c r="P155" i="1"/>
  <c r="A156" i="1"/>
  <c r="B156" i="1"/>
  <c r="D156" i="1"/>
  <c r="E156" i="1"/>
  <c r="F156" i="1"/>
  <c r="G156" i="1"/>
  <c r="H156" i="1"/>
  <c r="I156" i="1"/>
  <c r="J156" i="1"/>
  <c r="K156" i="1"/>
  <c r="L156" i="1"/>
  <c r="M156" i="1"/>
  <c r="O156" i="1"/>
  <c r="P156" i="1"/>
  <c r="A157" i="1"/>
  <c r="B157" i="1"/>
  <c r="D157" i="1"/>
  <c r="E157" i="1"/>
  <c r="F157" i="1"/>
  <c r="G157" i="1"/>
  <c r="H157" i="1"/>
  <c r="I157" i="1"/>
  <c r="J157" i="1"/>
  <c r="K157" i="1"/>
  <c r="L157" i="1"/>
  <c r="M157" i="1"/>
  <c r="O157" i="1"/>
  <c r="P157" i="1"/>
  <c r="A158" i="1"/>
  <c r="B158" i="1"/>
  <c r="D158" i="1"/>
  <c r="E158" i="1"/>
  <c r="F158" i="1"/>
  <c r="G158" i="1"/>
  <c r="H158" i="1"/>
  <c r="I158" i="1"/>
  <c r="J158" i="1"/>
  <c r="K158" i="1"/>
  <c r="L158" i="1"/>
  <c r="M158" i="1"/>
  <c r="O158" i="1"/>
  <c r="P158" i="1"/>
  <c r="A159" i="1"/>
  <c r="B159" i="1"/>
  <c r="D159" i="1"/>
  <c r="E159" i="1"/>
  <c r="F159" i="1"/>
  <c r="G159" i="1"/>
  <c r="H159" i="1"/>
  <c r="I159" i="1"/>
  <c r="J159" i="1"/>
  <c r="K159" i="1"/>
  <c r="L159" i="1"/>
  <c r="M159" i="1"/>
  <c r="O159" i="1"/>
  <c r="P159" i="1"/>
  <c r="A160" i="1"/>
  <c r="B160" i="1"/>
  <c r="D160" i="1"/>
  <c r="E160" i="1"/>
  <c r="F160" i="1"/>
  <c r="G160" i="1"/>
  <c r="H160" i="1"/>
  <c r="I160" i="1"/>
  <c r="J160" i="1"/>
  <c r="K160" i="1"/>
  <c r="L160" i="1"/>
  <c r="M160" i="1"/>
  <c r="O160" i="1"/>
  <c r="P160" i="1"/>
  <c r="A161" i="1"/>
  <c r="B161" i="1"/>
  <c r="D161" i="1"/>
  <c r="E161" i="1"/>
  <c r="F161" i="1"/>
  <c r="G161" i="1"/>
  <c r="H161" i="1"/>
  <c r="I161" i="1"/>
  <c r="J161" i="1"/>
  <c r="K161" i="1"/>
  <c r="L161" i="1"/>
  <c r="M161" i="1"/>
  <c r="O161" i="1"/>
  <c r="P161" i="1"/>
  <c r="A162" i="1"/>
  <c r="B162" i="1"/>
  <c r="D162" i="1"/>
  <c r="E162" i="1"/>
  <c r="F162" i="1"/>
  <c r="G162" i="1"/>
  <c r="H162" i="1"/>
  <c r="I162" i="1"/>
  <c r="J162" i="1"/>
  <c r="K162" i="1"/>
  <c r="L162" i="1"/>
  <c r="M162" i="1"/>
  <c r="O162" i="1"/>
  <c r="P162" i="1"/>
  <c r="A163" i="1"/>
  <c r="B163" i="1"/>
  <c r="D163" i="1"/>
  <c r="E163" i="1"/>
  <c r="F163" i="1"/>
  <c r="G163" i="1"/>
  <c r="H163" i="1"/>
  <c r="I163" i="1"/>
  <c r="J163" i="1"/>
  <c r="K163" i="1"/>
  <c r="L163" i="1"/>
  <c r="M163" i="1"/>
  <c r="O163" i="1"/>
  <c r="P163" i="1"/>
  <c r="A164" i="1"/>
  <c r="B164" i="1"/>
  <c r="D164" i="1"/>
  <c r="E164" i="1"/>
  <c r="F164" i="1"/>
  <c r="G164" i="1"/>
  <c r="H164" i="1"/>
  <c r="I164" i="1"/>
  <c r="J164" i="1"/>
  <c r="K164" i="1"/>
  <c r="L164" i="1"/>
  <c r="M164" i="1"/>
  <c r="O164" i="1"/>
  <c r="P164" i="1"/>
  <c r="A165" i="1"/>
  <c r="B165" i="1"/>
  <c r="D165" i="1"/>
  <c r="E165" i="1"/>
  <c r="F165" i="1"/>
  <c r="G165" i="1"/>
  <c r="H165" i="1"/>
  <c r="I165" i="1"/>
  <c r="J165" i="1"/>
  <c r="K165" i="1"/>
  <c r="L165" i="1"/>
  <c r="M165" i="1"/>
  <c r="O165" i="1"/>
  <c r="P165" i="1"/>
  <c r="A166" i="1"/>
  <c r="B166" i="1"/>
  <c r="D166" i="1"/>
  <c r="E166" i="1"/>
  <c r="F166" i="1"/>
  <c r="G166" i="1"/>
  <c r="H166" i="1"/>
  <c r="I166" i="1"/>
  <c r="J166" i="1"/>
  <c r="K166" i="1"/>
  <c r="L166" i="1"/>
  <c r="M166" i="1"/>
  <c r="O166" i="1"/>
  <c r="P166" i="1"/>
  <c r="A167" i="1"/>
  <c r="B167" i="1"/>
  <c r="D167" i="1"/>
  <c r="E167" i="1"/>
  <c r="F167" i="1"/>
  <c r="G167" i="1"/>
  <c r="H167" i="1"/>
  <c r="I167" i="1"/>
  <c r="J167" i="1"/>
  <c r="K167" i="1"/>
  <c r="L167" i="1"/>
  <c r="M167" i="1"/>
  <c r="O167" i="1"/>
  <c r="P167" i="1"/>
  <c r="A168" i="1"/>
  <c r="B168" i="1"/>
  <c r="D168" i="1"/>
  <c r="E168" i="1"/>
  <c r="F168" i="1"/>
  <c r="G168" i="1"/>
  <c r="H168" i="1"/>
  <c r="I168" i="1"/>
  <c r="J168" i="1"/>
  <c r="K168" i="1"/>
  <c r="L168" i="1"/>
  <c r="M168" i="1"/>
  <c r="O168" i="1"/>
  <c r="P168" i="1"/>
  <c r="A169" i="1"/>
  <c r="B169" i="1"/>
  <c r="D169" i="1"/>
  <c r="E169" i="1"/>
  <c r="F169" i="1"/>
  <c r="G169" i="1"/>
  <c r="H169" i="1"/>
  <c r="I169" i="1"/>
  <c r="J169" i="1"/>
  <c r="K169" i="1"/>
  <c r="L169" i="1"/>
  <c r="M169" i="1"/>
  <c r="O169" i="1"/>
  <c r="P169" i="1"/>
  <c r="A170" i="1"/>
  <c r="B170" i="1"/>
  <c r="D170" i="1"/>
  <c r="E170" i="1"/>
  <c r="F170" i="1"/>
  <c r="G170" i="1"/>
  <c r="H170" i="1"/>
  <c r="I170" i="1"/>
  <c r="J170" i="1"/>
  <c r="K170" i="1"/>
  <c r="L170" i="1"/>
  <c r="M170" i="1"/>
  <c r="O170" i="1"/>
  <c r="P170" i="1"/>
  <c r="A171" i="1"/>
  <c r="B171" i="1"/>
  <c r="D171" i="1"/>
  <c r="E171" i="1"/>
  <c r="F171" i="1"/>
  <c r="G171" i="1"/>
  <c r="H171" i="1"/>
  <c r="I171" i="1"/>
  <c r="J171" i="1"/>
  <c r="K171" i="1"/>
  <c r="L171" i="1"/>
  <c r="M171" i="1"/>
  <c r="O171" i="1"/>
  <c r="P171" i="1"/>
  <c r="A172" i="1"/>
  <c r="B172" i="1"/>
  <c r="D172" i="1"/>
  <c r="E172" i="1"/>
  <c r="F172" i="1"/>
  <c r="G172" i="1"/>
  <c r="H172" i="1"/>
  <c r="I172" i="1"/>
  <c r="J172" i="1"/>
  <c r="K172" i="1"/>
  <c r="L172" i="1"/>
  <c r="M172" i="1"/>
  <c r="O172" i="1"/>
  <c r="P172" i="1"/>
  <c r="A173" i="1"/>
  <c r="B173" i="1"/>
  <c r="D173" i="1"/>
  <c r="E173" i="1"/>
  <c r="F173" i="1"/>
  <c r="G173" i="1"/>
  <c r="H173" i="1"/>
  <c r="I173" i="1"/>
  <c r="J173" i="1"/>
  <c r="K173" i="1"/>
  <c r="L173" i="1"/>
  <c r="M173" i="1"/>
  <c r="O173" i="1"/>
  <c r="P173" i="1"/>
  <c r="A174" i="1"/>
  <c r="B174" i="1"/>
  <c r="D174" i="1"/>
  <c r="E174" i="1"/>
  <c r="F174" i="1"/>
  <c r="G174" i="1"/>
  <c r="H174" i="1"/>
  <c r="I174" i="1"/>
  <c r="J174" i="1"/>
  <c r="K174" i="1"/>
  <c r="L174" i="1"/>
  <c r="M174" i="1"/>
  <c r="O174" i="1"/>
  <c r="P174" i="1"/>
  <c r="A175" i="1"/>
  <c r="B175" i="1"/>
  <c r="D175" i="1"/>
  <c r="E175" i="1"/>
  <c r="F175" i="1"/>
  <c r="G175" i="1"/>
  <c r="H175" i="1"/>
  <c r="I175" i="1"/>
  <c r="J175" i="1"/>
  <c r="K175" i="1"/>
  <c r="L175" i="1"/>
  <c r="M175" i="1"/>
  <c r="O175" i="1"/>
  <c r="P175" i="1"/>
  <c r="A176" i="1"/>
  <c r="B176" i="1"/>
  <c r="D176" i="1"/>
  <c r="E176" i="1"/>
  <c r="F176" i="1"/>
  <c r="G176" i="1"/>
  <c r="H176" i="1"/>
  <c r="I176" i="1"/>
  <c r="J176" i="1"/>
  <c r="K176" i="1"/>
  <c r="L176" i="1"/>
  <c r="M176" i="1"/>
  <c r="O176" i="1"/>
  <c r="P176" i="1"/>
  <c r="A177" i="1"/>
  <c r="B177" i="1"/>
  <c r="D177" i="1"/>
  <c r="E177" i="1"/>
  <c r="F177" i="1"/>
  <c r="G177" i="1"/>
  <c r="H177" i="1"/>
  <c r="I177" i="1"/>
  <c r="J177" i="1"/>
  <c r="K177" i="1"/>
  <c r="L177" i="1"/>
  <c r="M177" i="1"/>
  <c r="O177" i="1"/>
  <c r="P177" i="1"/>
  <c r="A178" i="1"/>
  <c r="B178" i="1"/>
  <c r="D178" i="1"/>
  <c r="E178" i="1"/>
  <c r="F178" i="1"/>
  <c r="G178" i="1"/>
  <c r="H178" i="1"/>
  <c r="I178" i="1"/>
  <c r="J178" i="1"/>
  <c r="K178" i="1"/>
  <c r="L178" i="1"/>
  <c r="M178" i="1"/>
  <c r="O178" i="1"/>
  <c r="P178" i="1"/>
  <c r="A179" i="1"/>
  <c r="B179" i="1"/>
  <c r="D179" i="1"/>
  <c r="E179" i="1"/>
  <c r="F179" i="1"/>
  <c r="G179" i="1"/>
  <c r="H179" i="1"/>
  <c r="I179" i="1"/>
  <c r="J179" i="1"/>
  <c r="K179" i="1"/>
  <c r="L179" i="1"/>
  <c r="M179" i="1"/>
  <c r="O179" i="1"/>
  <c r="P179" i="1"/>
  <c r="A180" i="1"/>
  <c r="B180" i="1"/>
  <c r="D180" i="1"/>
  <c r="E180" i="1"/>
  <c r="F180" i="1"/>
  <c r="G180" i="1"/>
  <c r="H180" i="1"/>
  <c r="I180" i="1"/>
  <c r="J180" i="1"/>
  <c r="K180" i="1"/>
  <c r="L180" i="1"/>
  <c r="M180" i="1"/>
  <c r="O180" i="1"/>
  <c r="P180" i="1"/>
  <c r="A181" i="1"/>
  <c r="B181" i="1"/>
  <c r="D181" i="1"/>
  <c r="E181" i="1"/>
  <c r="F181" i="1"/>
  <c r="G181" i="1"/>
  <c r="H181" i="1"/>
  <c r="I181" i="1"/>
  <c r="J181" i="1"/>
  <c r="K181" i="1"/>
  <c r="L181" i="1"/>
  <c r="M181" i="1"/>
  <c r="O181" i="1"/>
  <c r="P181" i="1"/>
  <c r="A182" i="1"/>
  <c r="B182" i="1"/>
  <c r="D182" i="1"/>
  <c r="E182" i="1"/>
  <c r="F182" i="1"/>
  <c r="G182" i="1"/>
  <c r="H182" i="1"/>
  <c r="I182" i="1"/>
  <c r="J182" i="1"/>
  <c r="K182" i="1"/>
  <c r="L182" i="1"/>
  <c r="M182" i="1"/>
  <c r="O182" i="1"/>
  <c r="P182" i="1"/>
  <c r="A183" i="1"/>
  <c r="B183" i="1"/>
  <c r="D183" i="1"/>
  <c r="E183" i="1"/>
  <c r="F183" i="1"/>
  <c r="G183" i="1"/>
  <c r="H183" i="1"/>
  <c r="I183" i="1"/>
  <c r="J183" i="1"/>
  <c r="K183" i="1"/>
  <c r="L183" i="1"/>
  <c r="M183" i="1"/>
  <c r="O183" i="1"/>
  <c r="P183" i="1"/>
  <c r="A184" i="1"/>
  <c r="B184" i="1"/>
  <c r="D184" i="1"/>
  <c r="E184" i="1"/>
  <c r="F184" i="1"/>
  <c r="G184" i="1"/>
  <c r="H184" i="1"/>
  <c r="I184" i="1"/>
  <c r="J184" i="1"/>
  <c r="K184" i="1"/>
  <c r="L184" i="1"/>
  <c r="M184" i="1"/>
  <c r="O184" i="1"/>
  <c r="P184" i="1"/>
  <c r="A185" i="1"/>
  <c r="B185" i="1"/>
  <c r="D185" i="1"/>
  <c r="E185" i="1"/>
  <c r="F185" i="1"/>
  <c r="G185" i="1"/>
  <c r="H185" i="1"/>
  <c r="I185" i="1"/>
  <c r="J185" i="1"/>
  <c r="K185" i="1"/>
  <c r="L185" i="1"/>
  <c r="M185" i="1"/>
  <c r="O185" i="1"/>
  <c r="P185" i="1"/>
  <c r="A186" i="1"/>
  <c r="B186" i="1"/>
  <c r="D186" i="1"/>
  <c r="E186" i="1"/>
  <c r="F186" i="1"/>
  <c r="G186" i="1"/>
  <c r="H186" i="1"/>
  <c r="I186" i="1"/>
  <c r="J186" i="1"/>
  <c r="K186" i="1"/>
  <c r="L186" i="1"/>
  <c r="M186" i="1"/>
  <c r="O186" i="1"/>
  <c r="P186" i="1"/>
  <c r="A187" i="1"/>
  <c r="B187" i="1"/>
  <c r="D187" i="1"/>
  <c r="E187" i="1"/>
  <c r="F187" i="1"/>
  <c r="G187" i="1"/>
  <c r="H187" i="1"/>
  <c r="I187" i="1"/>
  <c r="J187" i="1"/>
  <c r="K187" i="1"/>
  <c r="L187" i="1"/>
  <c r="M187" i="1"/>
  <c r="O187" i="1"/>
  <c r="P187" i="1"/>
  <c r="A188" i="1"/>
  <c r="B188" i="1"/>
  <c r="D188" i="1"/>
  <c r="E188" i="1"/>
  <c r="F188" i="1"/>
  <c r="G188" i="1"/>
  <c r="H188" i="1"/>
  <c r="I188" i="1"/>
  <c r="J188" i="1"/>
  <c r="K188" i="1"/>
  <c r="L188" i="1"/>
  <c r="M188" i="1"/>
  <c r="O188" i="1"/>
  <c r="P188" i="1"/>
  <c r="A189" i="1"/>
  <c r="B189" i="1"/>
  <c r="D189" i="1"/>
  <c r="E189" i="1"/>
  <c r="F189" i="1"/>
  <c r="G189" i="1"/>
  <c r="H189" i="1"/>
  <c r="I189" i="1"/>
  <c r="J189" i="1"/>
  <c r="K189" i="1"/>
  <c r="L189" i="1"/>
  <c r="M189" i="1"/>
  <c r="O189" i="1"/>
  <c r="P189" i="1"/>
  <c r="A190" i="1"/>
  <c r="B190" i="1"/>
  <c r="D190" i="1"/>
  <c r="E190" i="1"/>
  <c r="F190" i="1"/>
  <c r="G190" i="1"/>
  <c r="H190" i="1"/>
  <c r="I190" i="1"/>
  <c r="J190" i="1"/>
  <c r="K190" i="1"/>
  <c r="L190" i="1"/>
  <c r="M190" i="1"/>
  <c r="O190" i="1"/>
  <c r="P190" i="1"/>
  <c r="A191" i="1"/>
  <c r="B191" i="1"/>
  <c r="D191" i="1"/>
  <c r="E191" i="1"/>
  <c r="F191" i="1"/>
  <c r="G191" i="1"/>
  <c r="H191" i="1"/>
  <c r="I191" i="1"/>
  <c r="J191" i="1"/>
  <c r="K191" i="1"/>
  <c r="L191" i="1"/>
  <c r="M191" i="1"/>
  <c r="O191" i="1"/>
  <c r="P191" i="1"/>
  <c r="A192" i="1"/>
  <c r="B192" i="1"/>
  <c r="D192" i="1"/>
  <c r="E192" i="1"/>
  <c r="F192" i="1"/>
  <c r="G192" i="1"/>
  <c r="H192" i="1"/>
  <c r="I192" i="1"/>
  <c r="J192" i="1"/>
  <c r="K192" i="1"/>
  <c r="L192" i="1"/>
  <c r="M192" i="1"/>
  <c r="O192" i="1"/>
  <c r="P192" i="1"/>
  <c r="A193" i="1"/>
  <c r="B193" i="1"/>
  <c r="D193" i="1"/>
  <c r="E193" i="1"/>
  <c r="F193" i="1"/>
  <c r="G193" i="1"/>
  <c r="H193" i="1"/>
  <c r="I193" i="1"/>
  <c r="J193" i="1"/>
  <c r="K193" i="1"/>
  <c r="L193" i="1"/>
  <c r="M193" i="1"/>
  <c r="O193" i="1"/>
  <c r="P193" i="1"/>
  <c r="A194" i="1"/>
  <c r="B194" i="1"/>
  <c r="D194" i="1"/>
  <c r="E194" i="1"/>
  <c r="F194" i="1"/>
  <c r="G194" i="1"/>
  <c r="H194" i="1"/>
  <c r="I194" i="1"/>
  <c r="J194" i="1"/>
  <c r="K194" i="1"/>
  <c r="L194" i="1"/>
  <c r="M194" i="1"/>
  <c r="O194" i="1"/>
  <c r="P194" i="1"/>
  <c r="A195" i="1"/>
  <c r="B195" i="1"/>
  <c r="D195" i="1"/>
  <c r="E195" i="1"/>
  <c r="F195" i="1"/>
  <c r="G195" i="1"/>
  <c r="H195" i="1"/>
  <c r="I195" i="1"/>
  <c r="J195" i="1"/>
  <c r="K195" i="1"/>
  <c r="L195" i="1"/>
  <c r="M195" i="1"/>
  <c r="O195" i="1"/>
  <c r="P195" i="1"/>
  <c r="A196" i="1"/>
  <c r="B196" i="1"/>
  <c r="D196" i="1"/>
  <c r="E196" i="1"/>
  <c r="F196" i="1"/>
  <c r="G196" i="1"/>
  <c r="H196" i="1"/>
  <c r="I196" i="1"/>
  <c r="J196" i="1"/>
  <c r="K196" i="1"/>
  <c r="L196" i="1"/>
  <c r="M196" i="1"/>
  <c r="O196" i="1"/>
  <c r="P196" i="1"/>
  <c r="A197" i="1"/>
  <c r="B197" i="1"/>
  <c r="D197" i="1"/>
  <c r="E197" i="1"/>
  <c r="F197" i="1"/>
  <c r="G197" i="1"/>
  <c r="H197" i="1"/>
  <c r="I197" i="1"/>
  <c r="J197" i="1"/>
  <c r="K197" i="1"/>
  <c r="L197" i="1"/>
  <c r="M197" i="1"/>
  <c r="O197" i="1"/>
  <c r="P197" i="1"/>
  <c r="A198" i="1"/>
  <c r="B198" i="1"/>
  <c r="D198" i="1"/>
  <c r="E198" i="1"/>
  <c r="F198" i="1"/>
  <c r="G198" i="1"/>
  <c r="H198" i="1"/>
  <c r="I198" i="1"/>
  <c r="J198" i="1"/>
  <c r="K198" i="1"/>
  <c r="L198" i="1"/>
  <c r="M198" i="1"/>
  <c r="O198" i="1"/>
  <c r="P198" i="1"/>
  <c r="A199" i="1"/>
  <c r="B199" i="1"/>
  <c r="D199" i="1"/>
  <c r="E199" i="1"/>
  <c r="F199" i="1"/>
  <c r="G199" i="1"/>
  <c r="H199" i="1"/>
  <c r="I199" i="1"/>
  <c r="J199" i="1"/>
  <c r="K199" i="1"/>
  <c r="L199" i="1"/>
  <c r="M199" i="1"/>
  <c r="O199" i="1"/>
  <c r="P199" i="1"/>
  <c r="A200" i="1"/>
  <c r="B200" i="1"/>
  <c r="D200" i="1"/>
  <c r="E200" i="1"/>
  <c r="F200" i="1"/>
  <c r="G200" i="1"/>
  <c r="H200" i="1"/>
  <c r="I200" i="1"/>
  <c r="J200" i="1"/>
  <c r="K200" i="1"/>
  <c r="L200" i="1"/>
  <c r="M200" i="1"/>
  <c r="O200" i="1"/>
  <c r="P200" i="1"/>
  <c r="A201" i="1"/>
  <c r="B201" i="1"/>
  <c r="D201" i="1"/>
  <c r="E201" i="1"/>
  <c r="F201" i="1"/>
  <c r="G201" i="1"/>
  <c r="H201" i="1"/>
  <c r="I201" i="1"/>
  <c r="J201" i="1"/>
  <c r="K201" i="1"/>
  <c r="L201" i="1"/>
  <c r="M201" i="1"/>
  <c r="O201" i="1"/>
  <c r="P201" i="1"/>
  <c r="A202" i="1"/>
  <c r="B202" i="1"/>
  <c r="D202" i="1"/>
  <c r="E202" i="1"/>
  <c r="F202" i="1"/>
  <c r="G202" i="1"/>
  <c r="H202" i="1"/>
  <c r="I202" i="1"/>
  <c r="J202" i="1"/>
  <c r="K202" i="1"/>
  <c r="L202" i="1"/>
  <c r="M202" i="1"/>
  <c r="O202" i="1"/>
  <c r="P202" i="1"/>
  <c r="A203" i="1"/>
  <c r="B203" i="1"/>
  <c r="D203" i="1"/>
  <c r="E203" i="1"/>
  <c r="F203" i="1"/>
  <c r="G203" i="1"/>
  <c r="H203" i="1"/>
  <c r="I203" i="1"/>
  <c r="J203" i="1"/>
  <c r="K203" i="1"/>
  <c r="L203" i="1"/>
  <c r="M203" i="1"/>
  <c r="O203" i="1"/>
  <c r="P203" i="1"/>
  <c r="A204" i="1"/>
  <c r="B204" i="1"/>
  <c r="D204" i="1"/>
  <c r="E204" i="1"/>
  <c r="F204" i="1"/>
  <c r="G204" i="1"/>
  <c r="H204" i="1"/>
  <c r="I204" i="1"/>
  <c r="J204" i="1"/>
  <c r="K204" i="1"/>
  <c r="L204" i="1"/>
  <c r="M204" i="1"/>
  <c r="O204" i="1"/>
  <c r="P204" i="1"/>
  <c r="A205" i="1"/>
  <c r="B205" i="1"/>
  <c r="D205" i="1"/>
  <c r="E205" i="1"/>
  <c r="F205" i="1"/>
  <c r="G205" i="1"/>
  <c r="H205" i="1"/>
  <c r="I205" i="1"/>
  <c r="J205" i="1"/>
  <c r="K205" i="1"/>
  <c r="L205" i="1"/>
  <c r="M205" i="1"/>
  <c r="O205" i="1"/>
  <c r="P205" i="1"/>
  <c r="A206" i="1"/>
  <c r="B206" i="1"/>
  <c r="D206" i="1"/>
  <c r="E206" i="1"/>
  <c r="F206" i="1"/>
  <c r="G206" i="1"/>
  <c r="H206" i="1"/>
  <c r="I206" i="1"/>
  <c r="J206" i="1"/>
  <c r="K206" i="1"/>
  <c r="L206" i="1"/>
  <c r="M206" i="1"/>
  <c r="O206" i="1"/>
  <c r="P206" i="1"/>
  <c r="A207" i="1"/>
  <c r="B207" i="1"/>
  <c r="D207" i="1"/>
  <c r="E207" i="1"/>
  <c r="F207" i="1"/>
  <c r="G207" i="1"/>
  <c r="H207" i="1"/>
  <c r="I207" i="1"/>
  <c r="J207" i="1"/>
  <c r="K207" i="1"/>
  <c r="L207" i="1"/>
  <c r="M207" i="1"/>
  <c r="O207" i="1"/>
  <c r="P207" i="1"/>
  <c r="A208" i="1"/>
  <c r="B208" i="1"/>
  <c r="D208" i="1"/>
  <c r="E208" i="1"/>
  <c r="F208" i="1"/>
  <c r="G208" i="1"/>
  <c r="H208" i="1"/>
  <c r="I208" i="1"/>
  <c r="J208" i="1"/>
  <c r="K208" i="1"/>
  <c r="L208" i="1"/>
  <c r="M208" i="1"/>
  <c r="O208" i="1"/>
  <c r="P208" i="1"/>
  <c r="A209" i="1"/>
  <c r="B209" i="1"/>
  <c r="D209" i="1"/>
  <c r="E209" i="1"/>
  <c r="F209" i="1"/>
  <c r="G209" i="1"/>
  <c r="H209" i="1"/>
  <c r="I209" i="1"/>
  <c r="J209" i="1"/>
  <c r="K209" i="1"/>
  <c r="L209" i="1"/>
  <c r="M209" i="1"/>
  <c r="O209" i="1"/>
  <c r="P209" i="1"/>
  <c r="A210" i="1"/>
  <c r="B210" i="1"/>
  <c r="D210" i="1"/>
  <c r="E210" i="1"/>
  <c r="F210" i="1"/>
  <c r="G210" i="1"/>
  <c r="H210" i="1"/>
  <c r="I210" i="1"/>
  <c r="J210" i="1"/>
  <c r="K210" i="1"/>
  <c r="L210" i="1"/>
  <c r="M210" i="1"/>
  <c r="O210" i="1"/>
  <c r="P210" i="1"/>
  <c r="A211" i="1"/>
  <c r="B211" i="1"/>
  <c r="D211" i="1"/>
  <c r="E211" i="1"/>
  <c r="F211" i="1"/>
  <c r="G211" i="1"/>
  <c r="H211" i="1"/>
  <c r="I211" i="1"/>
  <c r="J211" i="1"/>
  <c r="K211" i="1"/>
  <c r="L211" i="1"/>
  <c r="M211" i="1"/>
  <c r="O211" i="1"/>
  <c r="P211" i="1"/>
  <c r="A212" i="1"/>
  <c r="B212" i="1"/>
  <c r="D212" i="1"/>
  <c r="E212" i="1"/>
  <c r="F212" i="1"/>
  <c r="G212" i="1"/>
  <c r="H212" i="1"/>
  <c r="I212" i="1"/>
  <c r="J212" i="1"/>
  <c r="K212" i="1"/>
  <c r="L212" i="1"/>
  <c r="M212" i="1"/>
  <c r="O212" i="1"/>
  <c r="P212" i="1"/>
  <c r="A213" i="1"/>
  <c r="B213" i="1"/>
  <c r="D213" i="1"/>
  <c r="E213" i="1"/>
  <c r="F213" i="1"/>
  <c r="G213" i="1"/>
  <c r="H213" i="1"/>
  <c r="I213" i="1"/>
  <c r="J213" i="1"/>
  <c r="K213" i="1"/>
  <c r="L213" i="1"/>
  <c r="M213" i="1"/>
  <c r="O213" i="1"/>
  <c r="P213" i="1"/>
  <c r="A214" i="1"/>
  <c r="B214" i="1"/>
  <c r="D214" i="1"/>
  <c r="E214" i="1"/>
  <c r="F214" i="1"/>
  <c r="G214" i="1"/>
  <c r="H214" i="1"/>
  <c r="I214" i="1"/>
  <c r="J214" i="1"/>
  <c r="K214" i="1"/>
  <c r="L214" i="1"/>
  <c r="M214" i="1"/>
  <c r="O214" i="1"/>
  <c r="P214" i="1"/>
  <c r="A215" i="1"/>
  <c r="B215" i="1"/>
  <c r="D215" i="1"/>
  <c r="E215" i="1"/>
  <c r="F215" i="1"/>
  <c r="G215" i="1"/>
  <c r="H215" i="1"/>
  <c r="I215" i="1"/>
  <c r="J215" i="1"/>
  <c r="K215" i="1"/>
  <c r="L215" i="1"/>
  <c r="M215" i="1"/>
  <c r="O215" i="1"/>
  <c r="P215" i="1"/>
  <c r="A216" i="1"/>
  <c r="B216" i="1"/>
  <c r="D216" i="1"/>
  <c r="E216" i="1"/>
  <c r="F216" i="1"/>
  <c r="G216" i="1"/>
  <c r="H216" i="1"/>
  <c r="I216" i="1"/>
  <c r="J216" i="1"/>
  <c r="K216" i="1"/>
  <c r="L216" i="1"/>
  <c r="M216" i="1"/>
  <c r="O216" i="1"/>
  <c r="P216" i="1"/>
  <c r="A217" i="1"/>
  <c r="B217" i="1"/>
  <c r="D217" i="1"/>
  <c r="E217" i="1"/>
  <c r="F217" i="1"/>
  <c r="G217" i="1"/>
  <c r="H217" i="1"/>
  <c r="I217" i="1"/>
  <c r="J217" i="1"/>
  <c r="K217" i="1"/>
  <c r="L217" i="1"/>
  <c r="M217" i="1"/>
  <c r="O217" i="1"/>
  <c r="P217" i="1"/>
  <c r="A218" i="1"/>
  <c r="B218" i="1"/>
  <c r="D218" i="1"/>
  <c r="E218" i="1"/>
  <c r="F218" i="1"/>
  <c r="G218" i="1"/>
  <c r="H218" i="1"/>
  <c r="I218" i="1"/>
  <c r="J218" i="1"/>
  <c r="K218" i="1"/>
  <c r="L218" i="1"/>
  <c r="M218" i="1"/>
  <c r="O218" i="1"/>
  <c r="P218" i="1"/>
  <c r="A219" i="1"/>
  <c r="B219" i="1"/>
  <c r="D219" i="1"/>
  <c r="E219" i="1"/>
  <c r="F219" i="1"/>
  <c r="G219" i="1"/>
  <c r="H219" i="1"/>
  <c r="I219" i="1"/>
  <c r="J219" i="1"/>
  <c r="K219" i="1"/>
  <c r="L219" i="1"/>
  <c r="M219" i="1"/>
  <c r="O219" i="1"/>
  <c r="P219" i="1"/>
  <c r="A220" i="1"/>
  <c r="B220" i="1"/>
  <c r="D220" i="1"/>
  <c r="E220" i="1"/>
  <c r="F220" i="1"/>
  <c r="G220" i="1"/>
  <c r="H220" i="1"/>
  <c r="I220" i="1"/>
  <c r="J220" i="1"/>
  <c r="K220" i="1"/>
  <c r="L220" i="1"/>
  <c r="M220" i="1"/>
  <c r="O220" i="1"/>
  <c r="P220" i="1"/>
  <c r="A221" i="1"/>
  <c r="B221" i="1"/>
  <c r="D221" i="1"/>
  <c r="E221" i="1"/>
  <c r="F221" i="1"/>
  <c r="G221" i="1"/>
  <c r="H221" i="1"/>
  <c r="I221" i="1"/>
  <c r="J221" i="1"/>
  <c r="K221" i="1"/>
  <c r="L221" i="1"/>
  <c r="M221" i="1"/>
  <c r="O221" i="1"/>
  <c r="P221" i="1"/>
  <c r="A222" i="1"/>
  <c r="B222" i="1"/>
  <c r="D222" i="1"/>
  <c r="E222" i="1"/>
  <c r="F222" i="1"/>
  <c r="G222" i="1"/>
  <c r="H222" i="1"/>
  <c r="I222" i="1"/>
  <c r="J222" i="1"/>
  <c r="K222" i="1"/>
  <c r="L222" i="1"/>
  <c r="M222" i="1"/>
  <c r="O222" i="1"/>
  <c r="P222" i="1"/>
  <c r="A223" i="1"/>
  <c r="B223" i="1"/>
  <c r="D223" i="1"/>
  <c r="E223" i="1"/>
  <c r="F223" i="1"/>
  <c r="G223" i="1"/>
  <c r="H223" i="1"/>
  <c r="I223" i="1"/>
  <c r="J223" i="1"/>
  <c r="K223" i="1"/>
  <c r="L223" i="1"/>
  <c r="M223" i="1"/>
  <c r="O223" i="1"/>
  <c r="P223" i="1"/>
  <c r="A224" i="1"/>
  <c r="B224" i="1"/>
  <c r="D224" i="1"/>
  <c r="E224" i="1"/>
  <c r="F224" i="1"/>
  <c r="G224" i="1"/>
  <c r="H224" i="1"/>
  <c r="I224" i="1"/>
  <c r="J224" i="1"/>
  <c r="K224" i="1"/>
  <c r="L224" i="1"/>
  <c r="M224" i="1"/>
  <c r="O224" i="1"/>
  <c r="P224" i="1"/>
  <c r="A225" i="1"/>
  <c r="B225" i="1"/>
  <c r="D225" i="1"/>
  <c r="E225" i="1"/>
  <c r="F225" i="1"/>
  <c r="G225" i="1"/>
  <c r="H225" i="1"/>
  <c r="I225" i="1"/>
  <c r="J225" i="1"/>
  <c r="K225" i="1"/>
  <c r="L225" i="1"/>
  <c r="M225" i="1"/>
  <c r="O225" i="1"/>
  <c r="P225" i="1"/>
  <c r="A226" i="1"/>
  <c r="B226" i="1"/>
  <c r="D226" i="1"/>
  <c r="E226" i="1"/>
  <c r="F226" i="1"/>
  <c r="G226" i="1"/>
  <c r="H226" i="1"/>
  <c r="I226" i="1"/>
  <c r="J226" i="1"/>
  <c r="K226" i="1"/>
  <c r="L226" i="1"/>
  <c r="M226" i="1"/>
  <c r="O226" i="1"/>
  <c r="P226" i="1"/>
  <c r="A227" i="1"/>
  <c r="B227" i="1"/>
  <c r="D227" i="1"/>
  <c r="E227" i="1"/>
  <c r="F227" i="1"/>
  <c r="G227" i="1"/>
  <c r="H227" i="1"/>
  <c r="I227" i="1"/>
  <c r="J227" i="1"/>
  <c r="K227" i="1"/>
  <c r="L227" i="1"/>
  <c r="M227" i="1"/>
  <c r="O227" i="1"/>
  <c r="P227" i="1"/>
  <c r="A228" i="1"/>
  <c r="B228" i="1"/>
  <c r="D228" i="1"/>
  <c r="E228" i="1"/>
  <c r="F228" i="1"/>
  <c r="G228" i="1"/>
  <c r="H228" i="1"/>
  <c r="I228" i="1"/>
  <c r="J228" i="1"/>
  <c r="K228" i="1"/>
  <c r="L228" i="1"/>
  <c r="M228" i="1"/>
  <c r="O228" i="1"/>
  <c r="P228" i="1"/>
  <c r="A229" i="1"/>
  <c r="B229" i="1"/>
  <c r="D229" i="1"/>
  <c r="E229" i="1"/>
  <c r="F229" i="1"/>
  <c r="G229" i="1"/>
  <c r="H229" i="1"/>
  <c r="I229" i="1"/>
  <c r="J229" i="1"/>
  <c r="K229" i="1"/>
  <c r="L229" i="1"/>
  <c r="M229" i="1"/>
  <c r="O229" i="1"/>
  <c r="P229" i="1"/>
  <c r="A230" i="1"/>
  <c r="B230" i="1"/>
  <c r="D230" i="1"/>
  <c r="E230" i="1"/>
  <c r="F230" i="1"/>
  <c r="G230" i="1"/>
  <c r="H230" i="1"/>
  <c r="I230" i="1"/>
  <c r="J230" i="1"/>
  <c r="K230" i="1"/>
  <c r="L230" i="1"/>
  <c r="M230" i="1"/>
  <c r="O230" i="1"/>
  <c r="P230" i="1"/>
  <c r="A231" i="1"/>
  <c r="B231" i="1"/>
  <c r="D231" i="1"/>
  <c r="E231" i="1"/>
  <c r="F231" i="1"/>
  <c r="G231" i="1"/>
  <c r="H231" i="1"/>
  <c r="I231" i="1"/>
  <c r="J231" i="1"/>
  <c r="K231" i="1"/>
  <c r="L231" i="1"/>
  <c r="M231" i="1"/>
  <c r="O231" i="1"/>
  <c r="P231" i="1"/>
  <c r="A232" i="1"/>
  <c r="B232" i="1"/>
  <c r="D232" i="1"/>
  <c r="E232" i="1"/>
  <c r="F232" i="1"/>
  <c r="G232" i="1"/>
  <c r="H232" i="1"/>
  <c r="I232" i="1"/>
  <c r="J232" i="1"/>
  <c r="K232" i="1"/>
  <c r="L232" i="1"/>
  <c r="M232" i="1"/>
  <c r="O232" i="1"/>
  <c r="P232" i="1"/>
  <c r="A233" i="1"/>
  <c r="B233" i="1"/>
  <c r="D233" i="1"/>
  <c r="E233" i="1"/>
  <c r="F233" i="1"/>
  <c r="G233" i="1"/>
  <c r="H233" i="1"/>
  <c r="I233" i="1"/>
  <c r="J233" i="1"/>
  <c r="K233" i="1"/>
  <c r="L233" i="1"/>
  <c r="M233" i="1"/>
  <c r="O233" i="1"/>
  <c r="P233" i="1"/>
  <c r="A234" i="1"/>
  <c r="B234" i="1"/>
  <c r="D234" i="1"/>
  <c r="E234" i="1"/>
  <c r="F234" i="1"/>
  <c r="G234" i="1"/>
  <c r="H234" i="1"/>
  <c r="I234" i="1"/>
  <c r="J234" i="1"/>
  <c r="K234" i="1"/>
  <c r="L234" i="1"/>
  <c r="M234" i="1"/>
  <c r="O234" i="1"/>
  <c r="P234" i="1"/>
  <c r="A235" i="1"/>
  <c r="B235" i="1"/>
  <c r="D235" i="1"/>
  <c r="E235" i="1"/>
  <c r="F235" i="1"/>
  <c r="G235" i="1"/>
  <c r="H235" i="1"/>
  <c r="I235" i="1"/>
  <c r="J235" i="1"/>
  <c r="K235" i="1"/>
  <c r="L235" i="1"/>
  <c r="M235" i="1"/>
  <c r="O235" i="1"/>
  <c r="P235" i="1"/>
  <c r="A236" i="1"/>
  <c r="B236" i="1"/>
  <c r="D236" i="1"/>
  <c r="E236" i="1"/>
  <c r="F236" i="1"/>
  <c r="G236" i="1"/>
  <c r="H236" i="1"/>
  <c r="I236" i="1"/>
  <c r="J236" i="1"/>
  <c r="K236" i="1"/>
  <c r="L236" i="1"/>
  <c r="M236" i="1"/>
  <c r="O236" i="1"/>
  <c r="P236" i="1"/>
  <c r="A237" i="1"/>
  <c r="B237" i="1"/>
  <c r="D237" i="1"/>
  <c r="E237" i="1"/>
  <c r="F237" i="1"/>
  <c r="G237" i="1"/>
  <c r="H237" i="1"/>
  <c r="I237" i="1"/>
  <c r="J237" i="1"/>
  <c r="K237" i="1"/>
  <c r="L237" i="1"/>
  <c r="M237" i="1"/>
  <c r="O237" i="1"/>
  <c r="P237" i="1"/>
  <c r="A238" i="1"/>
  <c r="B238" i="1"/>
  <c r="D238" i="1"/>
  <c r="E238" i="1"/>
  <c r="F238" i="1"/>
  <c r="G238" i="1"/>
  <c r="H238" i="1"/>
  <c r="I238" i="1"/>
  <c r="J238" i="1"/>
  <c r="K238" i="1"/>
  <c r="L238" i="1"/>
  <c r="M238" i="1"/>
  <c r="O238" i="1"/>
  <c r="P238" i="1"/>
  <c r="A239" i="1"/>
  <c r="B239" i="1"/>
  <c r="D239" i="1"/>
  <c r="E239" i="1"/>
  <c r="F239" i="1"/>
  <c r="G239" i="1"/>
  <c r="H239" i="1"/>
  <c r="I239" i="1"/>
  <c r="J239" i="1"/>
  <c r="K239" i="1"/>
  <c r="L239" i="1"/>
  <c r="M239" i="1"/>
  <c r="O239" i="1"/>
  <c r="P239" i="1"/>
  <c r="A240" i="1"/>
  <c r="B240" i="1"/>
  <c r="D240" i="1"/>
  <c r="E240" i="1"/>
  <c r="F240" i="1"/>
  <c r="G240" i="1"/>
  <c r="H240" i="1"/>
  <c r="I240" i="1"/>
  <c r="J240" i="1"/>
  <c r="K240" i="1"/>
  <c r="L240" i="1"/>
  <c r="M240" i="1"/>
  <c r="O240" i="1"/>
  <c r="P240" i="1"/>
  <c r="A241" i="1"/>
  <c r="B241" i="1"/>
  <c r="D241" i="1"/>
  <c r="E241" i="1"/>
  <c r="F241" i="1"/>
  <c r="G241" i="1"/>
  <c r="H241" i="1"/>
  <c r="I241" i="1"/>
  <c r="J241" i="1"/>
  <c r="K241" i="1"/>
  <c r="L241" i="1"/>
  <c r="M241" i="1"/>
  <c r="O241" i="1"/>
  <c r="P241" i="1"/>
  <c r="A242" i="1"/>
  <c r="B242" i="1"/>
  <c r="D242" i="1"/>
  <c r="E242" i="1"/>
  <c r="F242" i="1"/>
  <c r="G242" i="1"/>
  <c r="H242" i="1"/>
  <c r="I242" i="1"/>
  <c r="J242" i="1"/>
  <c r="K242" i="1"/>
  <c r="L242" i="1"/>
  <c r="M242" i="1"/>
  <c r="O242" i="1"/>
  <c r="P242" i="1"/>
  <c r="A243" i="1"/>
  <c r="B243" i="1"/>
  <c r="D243" i="1"/>
  <c r="E243" i="1"/>
  <c r="F243" i="1"/>
  <c r="G243" i="1"/>
  <c r="H243" i="1"/>
  <c r="I243" i="1"/>
  <c r="J243" i="1"/>
  <c r="K243" i="1"/>
  <c r="L243" i="1"/>
  <c r="M243" i="1"/>
  <c r="O243" i="1"/>
  <c r="P243" i="1"/>
  <c r="A244" i="1"/>
  <c r="B244" i="1"/>
  <c r="D244" i="1"/>
  <c r="E244" i="1"/>
  <c r="F244" i="1"/>
  <c r="G244" i="1"/>
  <c r="H244" i="1"/>
  <c r="I244" i="1"/>
  <c r="J244" i="1"/>
  <c r="K244" i="1"/>
  <c r="L244" i="1"/>
  <c r="M244" i="1"/>
  <c r="O244" i="1"/>
  <c r="P244" i="1"/>
  <c r="A245" i="1"/>
  <c r="B245" i="1"/>
  <c r="D245" i="1"/>
  <c r="E245" i="1"/>
  <c r="F245" i="1"/>
  <c r="G245" i="1"/>
  <c r="H245" i="1"/>
  <c r="I245" i="1"/>
  <c r="J245" i="1"/>
  <c r="K245" i="1"/>
  <c r="L245" i="1"/>
  <c r="M245" i="1"/>
  <c r="O245" i="1"/>
  <c r="P245" i="1"/>
  <c r="A246" i="1"/>
  <c r="B246" i="1"/>
  <c r="D246" i="1"/>
  <c r="E246" i="1"/>
  <c r="F246" i="1"/>
  <c r="G246" i="1"/>
  <c r="H246" i="1"/>
  <c r="I246" i="1"/>
  <c r="J246" i="1"/>
  <c r="K246" i="1"/>
  <c r="L246" i="1"/>
  <c r="M246" i="1"/>
  <c r="O246" i="1"/>
  <c r="P246" i="1"/>
  <c r="A247" i="1"/>
  <c r="B247" i="1"/>
  <c r="D247" i="1"/>
  <c r="E247" i="1"/>
  <c r="F247" i="1"/>
  <c r="G247" i="1"/>
  <c r="H247" i="1"/>
  <c r="I247" i="1"/>
  <c r="J247" i="1"/>
  <c r="K247" i="1"/>
  <c r="L247" i="1"/>
  <c r="M247" i="1"/>
  <c r="O247" i="1"/>
  <c r="P247" i="1"/>
  <c r="A248" i="1"/>
  <c r="B248" i="1"/>
  <c r="D248" i="1"/>
  <c r="E248" i="1"/>
  <c r="F248" i="1"/>
  <c r="G248" i="1"/>
  <c r="H248" i="1"/>
  <c r="I248" i="1"/>
  <c r="J248" i="1"/>
  <c r="K248" i="1"/>
  <c r="L248" i="1"/>
  <c r="M248" i="1"/>
  <c r="O248" i="1"/>
  <c r="P248" i="1"/>
  <c r="A249" i="1"/>
  <c r="B249" i="1"/>
  <c r="D249" i="1"/>
  <c r="E249" i="1"/>
  <c r="F249" i="1"/>
  <c r="G249" i="1"/>
  <c r="H249" i="1"/>
  <c r="I249" i="1"/>
  <c r="J249" i="1"/>
  <c r="K249" i="1"/>
  <c r="L249" i="1"/>
  <c r="M249" i="1"/>
  <c r="O249" i="1"/>
  <c r="P249" i="1"/>
  <c r="A250" i="1"/>
  <c r="B250" i="1"/>
  <c r="D250" i="1"/>
  <c r="E250" i="1"/>
  <c r="F250" i="1"/>
  <c r="G250" i="1"/>
  <c r="H250" i="1"/>
  <c r="I250" i="1"/>
  <c r="J250" i="1"/>
  <c r="K250" i="1"/>
  <c r="L250" i="1"/>
  <c r="M250" i="1"/>
  <c r="O250" i="1"/>
  <c r="P250" i="1"/>
  <c r="A251" i="1"/>
  <c r="B251" i="1"/>
  <c r="D251" i="1"/>
  <c r="E251" i="1"/>
  <c r="F251" i="1"/>
  <c r="G251" i="1"/>
  <c r="H251" i="1"/>
  <c r="I251" i="1"/>
  <c r="J251" i="1"/>
  <c r="K251" i="1"/>
  <c r="L251" i="1"/>
  <c r="M251" i="1"/>
  <c r="O251" i="1"/>
  <c r="P251" i="1"/>
  <c r="A252" i="1"/>
  <c r="B252" i="1"/>
  <c r="D252" i="1"/>
  <c r="E252" i="1"/>
  <c r="F252" i="1"/>
  <c r="G252" i="1"/>
  <c r="H252" i="1"/>
  <c r="I252" i="1"/>
  <c r="J252" i="1"/>
  <c r="K252" i="1"/>
  <c r="L252" i="1"/>
  <c r="M252" i="1"/>
  <c r="O252" i="1"/>
  <c r="P252" i="1"/>
  <c r="A253" i="1"/>
  <c r="B253" i="1"/>
  <c r="D253" i="1"/>
  <c r="E253" i="1"/>
  <c r="F253" i="1"/>
  <c r="G253" i="1"/>
  <c r="H253" i="1"/>
  <c r="I253" i="1"/>
  <c r="J253" i="1"/>
  <c r="K253" i="1"/>
  <c r="L253" i="1"/>
  <c r="M253" i="1"/>
  <c r="O253" i="1"/>
  <c r="P253" i="1"/>
  <c r="A254" i="1"/>
  <c r="B254" i="1"/>
  <c r="D254" i="1"/>
  <c r="E254" i="1"/>
  <c r="F254" i="1"/>
  <c r="G254" i="1"/>
  <c r="H254" i="1"/>
  <c r="I254" i="1"/>
  <c r="J254" i="1"/>
  <c r="K254" i="1"/>
  <c r="L254" i="1"/>
  <c r="M254" i="1"/>
  <c r="O254" i="1"/>
  <c r="P254" i="1"/>
  <c r="A255" i="1"/>
  <c r="B255" i="1"/>
  <c r="D255" i="1"/>
  <c r="E255" i="1"/>
  <c r="F255" i="1"/>
  <c r="G255" i="1"/>
  <c r="H255" i="1"/>
  <c r="I255" i="1"/>
  <c r="J255" i="1"/>
  <c r="K255" i="1"/>
  <c r="L255" i="1"/>
  <c r="M255" i="1"/>
  <c r="O255" i="1"/>
  <c r="P255" i="1"/>
  <c r="A256" i="1"/>
  <c r="B256" i="1"/>
  <c r="D256" i="1"/>
  <c r="E256" i="1"/>
  <c r="F256" i="1"/>
  <c r="G256" i="1"/>
  <c r="H256" i="1"/>
  <c r="I256" i="1"/>
  <c r="J256" i="1"/>
  <c r="K256" i="1"/>
  <c r="L256" i="1"/>
  <c r="M256" i="1"/>
  <c r="O256" i="1"/>
  <c r="P256" i="1"/>
  <c r="A257" i="1"/>
  <c r="B257" i="1"/>
  <c r="D257" i="1"/>
  <c r="E257" i="1"/>
  <c r="F257" i="1"/>
  <c r="G257" i="1"/>
  <c r="H257" i="1"/>
  <c r="I257" i="1"/>
  <c r="J257" i="1"/>
  <c r="K257" i="1"/>
  <c r="L257" i="1"/>
  <c r="M257" i="1"/>
  <c r="O257" i="1"/>
  <c r="P257" i="1"/>
  <c r="A258" i="1"/>
  <c r="B258" i="1"/>
  <c r="D258" i="1"/>
  <c r="E258" i="1"/>
  <c r="F258" i="1"/>
  <c r="G258" i="1"/>
  <c r="H258" i="1"/>
  <c r="I258" i="1"/>
  <c r="J258" i="1"/>
  <c r="K258" i="1"/>
  <c r="L258" i="1"/>
  <c r="M258" i="1"/>
  <c r="O258" i="1"/>
  <c r="P258" i="1"/>
  <c r="A259" i="1"/>
  <c r="B259" i="1"/>
  <c r="D259" i="1"/>
  <c r="E259" i="1"/>
  <c r="F259" i="1"/>
  <c r="G259" i="1"/>
  <c r="H259" i="1"/>
  <c r="I259" i="1"/>
  <c r="J259" i="1"/>
  <c r="K259" i="1"/>
  <c r="L259" i="1"/>
  <c r="M259" i="1"/>
  <c r="O259" i="1"/>
  <c r="P259" i="1"/>
  <c r="A260" i="1"/>
  <c r="B260" i="1"/>
  <c r="D260" i="1"/>
  <c r="E260" i="1"/>
  <c r="F260" i="1"/>
  <c r="G260" i="1"/>
  <c r="H260" i="1"/>
  <c r="I260" i="1"/>
  <c r="J260" i="1"/>
  <c r="K260" i="1"/>
  <c r="L260" i="1"/>
  <c r="M260" i="1"/>
  <c r="O260" i="1"/>
  <c r="P260" i="1"/>
  <c r="A261" i="1"/>
  <c r="B261" i="1"/>
  <c r="D261" i="1"/>
  <c r="E261" i="1"/>
  <c r="F261" i="1"/>
  <c r="G261" i="1"/>
  <c r="H261" i="1"/>
  <c r="I261" i="1"/>
  <c r="J261" i="1"/>
  <c r="K261" i="1"/>
  <c r="L261" i="1"/>
  <c r="M261" i="1"/>
  <c r="O261" i="1"/>
  <c r="P261" i="1"/>
  <c r="A262" i="1"/>
  <c r="B262" i="1"/>
  <c r="D262" i="1"/>
  <c r="E262" i="1"/>
  <c r="F262" i="1"/>
  <c r="G262" i="1"/>
  <c r="H262" i="1"/>
  <c r="I262" i="1"/>
  <c r="J262" i="1"/>
  <c r="K262" i="1"/>
  <c r="L262" i="1"/>
  <c r="M262" i="1"/>
  <c r="O262" i="1"/>
  <c r="P262" i="1"/>
  <c r="A263" i="1"/>
  <c r="B263" i="1"/>
  <c r="D263" i="1"/>
  <c r="E263" i="1"/>
  <c r="F263" i="1"/>
  <c r="G263" i="1"/>
  <c r="H263" i="1"/>
  <c r="I263" i="1"/>
  <c r="J263" i="1"/>
  <c r="K263" i="1"/>
  <c r="L263" i="1"/>
  <c r="M263" i="1"/>
  <c r="O263" i="1"/>
  <c r="P263" i="1"/>
  <c r="A264" i="1"/>
  <c r="B264" i="1"/>
  <c r="D264" i="1"/>
  <c r="E264" i="1"/>
  <c r="F264" i="1"/>
  <c r="G264" i="1"/>
  <c r="H264" i="1"/>
  <c r="I264" i="1"/>
  <c r="J264" i="1"/>
  <c r="K264" i="1"/>
  <c r="L264" i="1"/>
  <c r="M264" i="1"/>
  <c r="O264" i="1"/>
  <c r="P264" i="1"/>
  <c r="A265" i="1"/>
  <c r="B265" i="1"/>
  <c r="D265" i="1"/>
  <c r="E265" i="1"/>
  <c r="F265" i="1"/>
  <c r="G265" i="1"/>
  <c r="H265" i="1"/>
  <c r="I265" i="1"/>
  <c r="J265" i="1"/>
  <c r="K265" i="1"/>
  <c r="L265" i="1"/>
  <c r="M265" i="1"/>
  <c r="O265" i="1"/>
  <c r="P265" i="1"/>
  <c r="A266" i="1"/>
  <c r="B266" i="1"/>
  <c r="D266" i="1"/>
  <c r="E266" i="1"/>
  <c r="F266" i="1"/>
  <c r="G266" i="1"/>
  <c r="H266" i="1"/>
  <c r="I266" i="1"/>
  <c r="J266" i="1"/>
  <c r="K266" i="1"/>
  <c r="L266" i="1"/>
  <c r="M266" i="1"/>
  <c r="O266" i="1"/>
  <c r="P266" i="1"/>
  <c r="A267" i="1"/>
  <c r="B267" i="1"/>
  <c r="D267" i="1"/>
  <c r="E267" i="1"/>
  <c r="F267" i="1"/>
  <c r="G267" i="1"/>
  <c r="H267" i="1"/>
  <c r="I267" i="1"/>
  <c r="J267" i="1"/>
  <c r="K267" i="1"/>
  <c r="L267" i="1"/>
  <c r="M267" i="1"/>
  <c r="O267" i="1"/>
  <c r="P267" i="1"/>
  <c r="A268" i="1"/>
  <c r="B268" i="1"/>
  <c r="D268" i="1"/>
  <c r="E268" i="1"/>
  <c r="F268" i="1"/>
  <c r="G268" i="1"/>
  <c r="H268" i="1"/>
  <c r="I268" i="1"/>
  <c r="J268" i="1"/>
  <c r="K268" i="1"/>
  <c r="L268" i="1"/>
  <c r="M268" i="1"/>
  <c r="O268" i="1"/>
  <c r="P268" i="1"/>
  <c r="A269" i="1"/>
  <c r="B269" i="1"/>
  <c r="D269" i="1"/>
  <c r="E269" i="1"/>
  <c r="F269" i="1"/>
  <c r="G269" i="1"/>
  <c r="H269" i="1"/>
  <c r="I269" i="1"/>
  <c r="J269" i="1"/>
  <c r="K269" i="1"/>
  <c r="L269" i="1"/>
  <c r="M269" i="1"/>
  <c r="O269" i="1"/>
  <c r="P269" i="1"/>
  <c r="A270" i="1"/>
  <c r="B270" i="1"/>
  <c r="D270" i="1"/>
  <c r="E270" i="1"/>
  <c r="F270" i="1"/>
  <c r="G270" i="1"/>
  <c r="H270" i="1"/>
  <c r="I270" i="1"/>
  <c r="J270" i="1"/>
  <c r="K270" i="1"/>
  <c r="L270" i="1"/>
  <c r="M270" i="1"/>
  <c r="O270" i="1"/>
  <c r="P270" i="1"/>
  <c r="A271" i="1"/>
  <c r="B271" i="1"/>
  <c r="D271" i="1"/>
  <c r="E271" i="1"/>
  <c r="F271" i="1"/>
  <c r="G271" i="1"/>
  <c r="H271" i="1"/>
  <c r="I271" i="1"/>
  <c r="J271" i="1"/>
  <c r="K271" i="1"/>
  <c r="L271" i="1"/>
  <c r="M271" i="1"/>
  <c r="O271" i="1"/>
  <c r="P271" i="1"/>
  <c r="A272" i="1"/>
  <c r="B272" i="1"/>
  <c r="D272" i="1"/>
  <c r="E272" i="1"/>
  <c r="F272" i="1"/>
  <c r="G272" i="1"/>
  <c r="H272" i="1"/>
  <c r="I272" i="1"/>
  <c r="J272" i="1"/>
  <c r="K272" i="1"/>
  <c r="L272" i="1"/>
  <c r="M272" i="1"/>
  <c r="O272" i="1"/>
  <c r="P272" i="1"/>
  <c r="A273" i="1"/>
  <c r="B273" i="1"/>
  <c r="D273" i="1"/>
  <c r="E273" i="1"/>
  <c r="F273" i="1"/>
  <c r="G273" i="1"/>
  <c r="H273" i="1"/>
  <c r="I273" i="1"/>
  <c r="J273" i="1"/>
  <c r="K273" i="1"/>
  <c r="L273" i="1"/>
  <c r="M273" i="1"/>
  <c r="O273" i="1"/>
  <c r="P273" i="1"/>
  <c r="A274" i="1"/>
  <c r="B274" i="1"/>
  <c r="D274" i="1"/>
  <c r="E274" i="1"/>
  <c r="F274" i="1"/>
  <c r="G274" i="1"/>
  <c r="H274" i="1"/>
  <c r="I274" i="1"/>
  <c r="J274" i="1"/>
  <c r="K274" i="1"/>
  <c r="L274" i="1"/>
  <c r="M274" i="1"/>
  <c r="O274" i="1"/>
  <c r="P274" i="1"/>
  <c r="A275" i="1"/>
  <c r="B275" i="1"/>
  <c r="D275" i="1"/>
  <c r="E275" i="1"/>
  <c r="F275" i="1"/>
  <c r="G275" i="1"/>
  <c r="H275" i="1"/>
  <c r="I275" i="1"/>
  <c r="J275" i="1"/>
  <c r="K275" i="1"/>
  <c r="L275" i="1"/>
  <c r="M275" i="1"/>
  <c r="O275" i="1"/>
  <c r="P275" i="1"/>
  <c r="A276" i="1"/>
  <c r="B276" i="1"/>
  <c r="D276" i="1"/>
  <c r="E276" i="1"/>
  <c r="F276" i="1"/>
  <c r="G276" i="1"/>
  <c r="H276" i="1"/>
  <c r="I276" i="1"/>
  <c r="J276" i="1"/>
  <c r="K276" i="1"/>
  <c r="L276" i="1"/>
  <c r="M276" i="1"/>
  <c r="O276" i="1"/>
  <c r="P276" i="1"/>
  <c r="A277" i="1"/>
  <c r="B277" i="1"/>
  <c r="D277" i="1"/>
  <c r="E277" i="1"/>
  <c r="F277" i="1"/>
  <c r="G277" i="1"/>
  <c r="H277" i="1"/>
  <c r="I277" i="1"/>
  <c r="J277" i="1"/>
  <c r="K277" i="1"/>
  <c r="L277" i="1"/>
  <c r="M277" i="1"/>
  <c r="O277" i="1"/>
  <c r="P277" i="1"/>
  <c r="A278" i="1"/>
  <c r="B278" i="1"/>
  <c r="D278" i="1"/>
  <c r="E278" i="1"/>
  <c r="F278" i="1"/>
  <c r="G278" i="1"/>
  <c r="H278" i="1"/>
  <c r="I278" i="1"/>
  <c r="J278" i="1"/>
  <c r="K278" i="1"/>
  <c r="L278" i="1"/>
  <c r="M278" i="1"/>
  <c r="O278" i="1"/>
  <c r="P278" i="1"/>
  <c r="A279" i="1"/>
  <c r="B279" i="1"/>
  <c r="D279" i="1"/>
  <c r="E279" i="1"/>
  <c r="F279" i="1"/>
  <c r="G279" i="1"/>
  <c r="H279" i="1"/>
  <c r="I279" i="1"/>
  <c r="J279" i="1"/>
  <c r="K279" i="1"/>
  <c r="L279" i="1"/>
  <c r="M279" i="1"/>
  <c r="O279" i="1"/>
  <c r="P279" i="1"/>
  <c r="A280" i="1"/>
  <c r="B280" i="1"/>
  <c r="D280" i="1"/>
  <c r="E280" i="1"/>
  <c r="F280" i="1"/>
  <c r="G280" i="1"/>
  <c r="H280" i="1"/>
  <c r="I280" i="1"/>
  <c r="J280" i="1"/>
  <c r="K280" i="1"/>
  <c r="L280" i="1"/>
  <c r="M280" i="1"/>
  <c r="O280" i="1"/>
  <c r="P280" i="1"/>
  <c r="A281" i="1"/>
  <c r="B281" i="1"/>
  <c r="D281" i="1"/>
  <c r="E281" i="1"/>
  <c r="F281" i="1"/>
  <c r="G281" i="1"/>
  <c r="H281" i="1"/>
  <c r="I281" i="1"/>
  <c r="J281" i="1"/>
  <c r="K281" i="1"/>
  <c r="L281" i="1"/>
  <c r="M281" i="1"/>
  <c r="O281" i="1"/>
  <c r="P281" i="1"/>
  <c r="A282" i="1"/>
  <c r="B282" i="1"/>
  <c r="D282" i="1"/>
  <c r="E282" i="1"/>
  <c r="F282" i="1"/>
  <c r="G282" i="1"/>
  <c r="H282" i="1"/>
  <c r="I282" i="1"/>
  <c r="J282" i="1"/>
  <c r="K282" i="1"/>
  <c r="L282" i="1"/>
  <c r="M282" i="1"/>
  <c r="O282" i="1"/>
  <c r="P282" i="1"/>
  <c r="A283" i="1"/>
  <c r="B283" i="1"/>
  <c r="D283" i="1"/>
  <c r="E283" i="1"/>
  <c r="F283" i="1"/>
  <c r="G283" i="1"/>
  <c r="H283" i="1"/>
  <c r="I283" i="1"/>
  <c r="J283" i="1"/>
  <c r="K283" i="1"/>
  <c r="L283" i="1"/>
  <c r="M283" i="1"/>
  <c r="O283" i="1"/>
  <c r="P283" i="1"/>
  <c r="A284" i="1"/>
  <c r="B284" i="1"/>
  <c r="D284" i="1"/>
  <c r="E284" i="1"/>
  <c r="F284" i="1"/>
  <c r="G284" i="1"/>
  <c r="H284" i="1"/>
  <c r="I284" i="1"/>
  <c r="J284" i="1"/>
  <c r="K284" i="1"/>
  <c r="L284" i="1"/>
  <c r="M284" i="1"/>
  <c r="O284" i="1"/>
  <c r="P284" i="1"/>
  <c r="A285" i="1"/>
  <c r="B285" i="1"/>
  <c r="D285" i="1"/>
  <c r="E285" i="1"/>
  <c r="F285" i="1"/>
  <c r="G285" i="1"/>
  <c r="H285" i="1"/>
  <c r="I285" i="1"/>
  <c r="J285" i="1"/>
  <c r="K285" i="1"/>
  <c r="L285" i="1"/>
  <c r="M285" i="1"/>
  <c r="O285" i="1"/>
  <c r="P285" i="1"/>
  <c r="A286" i="1"/>
  <c r="B286" i="1"/>
  <c r="D286" i="1"/>
  <c r="E286" i="1"/>
  <c r="F286" i="1"/>
  <c r="G286" i="1"/>
  <c r="H286" i="1"/>
  <c r="I286" i="1"/>
  <c r="J286" i="1"/>
  <c r="K286" i="1"/>
  <c r="L286" i="1"/>
  <c r="M286" i="1"/>
  <c r="O286" i="1"/>
  <c r="P286" i="1"/>
  <c r="A287" i="1"/>
  <c r="B287" i="1"/>
  <c r="D287" i="1"/>
  <c r="E287" i="1"/>
  <c r="F287" i="1"/>
  <c r="G287" i="1"/>
  <c r="H287" i="1"/>
  <c r="I287" i="1"/>
  <c r="J287" i="1"/>
  <c r="K287" i="1"/>
  <c r="L287" i="1"/>
  <c r="M287" i="1"/>
  <c r="O287" i="1"/>
  <c r="P287" i="1"/>
  <c r="A288" i="1"/>
  <c r="B288" i="1"/>
  <c r="D288" i="1"/>
  <c r="E288" i="1"/>
  <c r="F288" i="1"/>
  <c r="G288" i="1"/>
  <c r="H288" i="1"/>
  <c r="I288" i="1"/>
  <c r="J288" i="1"/>
  <c r="K288" i="1"/>
  <c r="L288" i="1"/>
  <c r="M288" i="1"/>
  <c r="O288" i="1"/>
  <c r="P288" i="1"/>
  <c r="A289" i="1"/>
  <c r="B289" i="1"/>
  <c r="D289" i="1"/>
  <c r="E289" i="1"/>
  <c r="F289" i="1"/>
  <c r="G289" i="1"/>
  <c r="H289" i="1"/>
  <c r="I289" i="1"/>
  <c r="J289" i="1"/>
  <c r="K289" i="1"/>
  <c r="L289" i="1"/>
  <c r="M289" i="1"/>
  <c r="O289" i="1"/>
  <c r="P289" i="1"/>
  <c r="A290" i="1"/>
  <c r="B290" i="1"/>
  <c r="D290" i="1"/>
  <c r="E290" i="1"/>
  <c r="F290" i="1"/>
  <c r="G290" i="1"/>
  <c r="H290" i="1"/>
  <c r="I290" i="1"/>
  <c r="J290" i="1"/>
  <c r="K290" i="1"/>
  <c r="L290" i="1"/>
  <c r="M290" i="1"/>
  <c r="O290" i="1"/>
  <c r="P290" i="1"/>
  <c r="A291" i="1"/>
  <c r="B291" i="1"/>
  <c r="D291" i="1"/>
  <c r="E291" i="1"/>
  <c r="F291" i="1"/>
  <c r="G291" i="1"/>
  <c r="H291" i="1"/>
  <c r="I291" i="1"/>
  <c r="J291" i="1"/>
  <c r="K291" i="1"/>
  <c r="L291" i="1"/>
  <c r="M291" i="1"/>
  <c r="O291" i="1"/>
  <c r="P291" i="1"/>
  <c r="A292" i="1"/>
  <c r="B292" i="1"/>
  <c r="D292" i="1"/>
  <c r="E292" i="1"/>
  <c r="F292" i="1"/>
  <c r="G292" i="1"/>
  <c r="H292" i="1"/>
  <c r="I292" i="1"/>
  <c r="J292" i="1"/>
  <c r="K292" i="1"/>
  <c r="L292" i="1"/>
  <c r="M292" i="1"/>
  <c r="O292" i="1"/>
  <c r="P292" i="1"/>
  <c r="A293" i="1"/>
  <c r="B293" i="1"/>
  <c r="D293" i="1"/>
  <c r="E293" i="1"/>
  <c r="F293" i="1"/>
  <c r="G293" i="1"/>
  <c r="H293" i="1"/>
  <c r="I293" i="1"/>
  <c r="J293" i="1"/>
  <c r="K293" i="1"/>
  <c r="L293" i="1"/>
  <c r="M293" i="1"/>
  <c r="O293" i="1"/>
  <c r="P293" i="1"/>
  <c r="A294" i="1"/>
  <c r="B294" i="1"/>
  <c r="D294" i="1"/>
  <c r="E294" i="1"/>
  <c r="F294" i="1"/>
  <c r="G294" i="1"/>
  <c r="H294" i="1"/>
  <c r="I294" i="1"/>
  <c r="J294" i="1"/>
  <c r="K294" i="1"/>
  <c r="L294" i="1"/>
  <c r="M294" i="1"/>
  <c r="O294" i="1"/>
  <c r="P294" i="1"/>
  <c r="A295" i="1"/>
  <c r="B295" i="1"/>
  <c r="D295" i="1"/>
  <c r="E295" i="1"/>
  <c r="F295" i="1"/>
  <c r="G295" i="1"/>
  <c r="H295" i="1"/>
  <c r="I295" i="1"/>
  <c r="J295" i="1"/>
  <c r="K295" i="1"/>
  <c r="L295" i="1"/>
  <c r="M295" i="1"/>
  <c r="O295" i="1"/>
  <c r="P295" i="1"/>
  <c r="A296" i="1"/>
  <c r="B296" i="1"/>
  <c r="D296" i="1"/>
  <c r="E296" i="1"/>
  <c r="F296" i="1"/>
  <c r="G296" i="1"/>
  <c r="H296" i="1"/>
  <c r="I296" i="1"/>
  <c r="J296" i="1"/>
  <c r="K296" i="1"/>
  <c r="L296" i="1"/>
  <c r="M296" i="1"/>
  <c r="O296" i="1"/>
  <c r="P296" i="1"/>
  <c r="A297" i="1"/>
  <c r="B297" i="1"/>
  <c r="D297" i="1"/>
  <c r="E297" i="1"/>
  <c r="F297" i="1"/>
  <c r="G297" i="1"/>
  <c r="H297" i="1"/>
  <c r="I297" i="1"/>
  <c r="J297" i="1"/>
  <c r="K297" i="1"/>
  <c r="L297" i="1"/>
  <c r="M297" i="1"/>
  <c r="O297" i="1"/>
  <c r="P297" i="1"/>
  <c r="A298" i="1"/>
  <c r="B298" i="1"/>
  <c r="D298" i="1"/>
  <c r="E298" i="1"/>
  <c r="F298" i="1"/>
  <c r="G298" i="1"/>
  <c r="H298" i="1"/>
  <c r="I298" i="1"/>
  <c r="J298" i="1"/>
  <c r="K298" i="1"/>
  <c r="L298" i="1"/>
  <c r="M298" i="1"/>
  <c r="O298" i="1"/>
  <c r="P298" i="1"/>
  <c r="A299" i="1"/>
  <c r="B299" i="1"/>
  <c r="D299" i="1"/>
  <c r="E299" i="1"/>
  <c r="F299" i="1"/>
  <c r="G299" i="1"/>
  <c r="H299" i="1"/>
  <c r="I299" i="1"/>
  <c r="J299" i="1"/>
  <c r="K299" i="1"/>
  <c r="L299" i="1"/>
  <c r="M299" i="1"/>
  <c r="O299" i="1"/>
  <c r="P299" i="1"/>
  <c r="A300" i="1"/>
  <c r="B300" i="1"/>
  <c r="D300" i="1"/>
  <c r="E300" i="1"/>
  <c r="F300" i="1"/>
  <c r="G300" i="1"/>
  <c r="H300" i="1"/>
  <c r="I300" i="1"/>
  <c r="J300" i="1"/>
  <c r="K300" i="1"/>
  <c r="L300" i="1"/>
  <c r="M300" i="1"/>
  <c r="O300" i="1"/>
  <c r="P300" i="1"/>
  <c r="A301" i="1"/>
  <c r="B301" i="1"/>
  <c r="D301" i="1"/>
  <c r="E301" i="1"/>
  <c r="F301" i="1"/>
  <c r="G301" i="1"/>
  <c r="H301" i="1"/>
  <c r="I301" i="1"/>
  <c r="J301" i="1"/>
  <c r="K301" i="1"/>
  <c r="L301" i="1"/>
  <c r="M301" i="1"/>
  <c r="O301" i="1"/>
  <c r="P301" i="1"/>
  <c r="A302" i="1"/>
  <c r="B302" i="1"/>
  <c r="D302" i="1"/>
  <c r="E302" i="1"/>
  <c r="F302" i="1"/>
  <c r="G302" i="1"/>
  <c r="H302" i="1"/>
  <c r="I302" i="1"/>
  <c r="J302" i="1"/>
  <c r="K302" i="1"/>
  <c r="L302" i="1"/>
  <c r="M302" i="1"/>
  <c r="O302" i="1"/>
  <c r="P302" i="1"/>
  <c r="A303" i="1"/>
  <c r="B303" i="1"/>
  <c r="D303" i="1"/>
  <c r="E303" i="1"/>
  <c r="F303" i="1"/>
  <c r="G303" i="1"/>
  <c r="H303" i="1"/>
  <c r="I303" i="1"/>
  <c r="J303" i="1"/>
  <c r="K303" i="1"/>
  <c r="L303" i="1"/>
  <c r="M303" i="1"/>
  <c r="O303" i="1"/>
  <c r="P303" i="1"/>
  <c r="A304" i="1"/>
  <c r="B304" i="1"/>
  <c r="D304" i="1"/>
  <c r="E304" i="1"/>
  <c r="F304" i="1"/>
  <c r="G304" i="1"/>
  <c r="H304" i="1"/>
  <c r="I304" i="1"/>
  <c r="J304" i="1"/>
  <c r="K304" i="1"/>
  <c r="L304" i="1"/>
  <c r="M304" i="1"/>
  <c r="O304" i="1"/>
  <c r="P304" i="1"/>
  <c r="A305" i="1"/>
  <c r="B305" i="1"/>
  <c r="D305" i="1"/>
  <c r="E305" i="1"/>
  <c r="F305" i="1"/>
  <c r="G305" i="1"/>
  <c r="H305" i="1"/>
  <c r="I305" i="1"/>
  <c r="J305" i="1"/>
  <c r="K305" i="1"/>
  <c r="L305" i="1"/>
  <c r="M305" i="1"/>
  <c r="O305" i="1"/>
  <c r="P305" i="1"/>
  <c r="A306" i="1"/>
  <c r="B306" i="1"/>
  <c r="D306" i="1"/>
  <c r="E306" i="1"/>
  <c r="F306" i="1"/>
  <c r="G306" i="1"/>
  <c r="H306" i="1"/>
  <c r="I306" i="1"/>
  <c r="J306" i="1"/>
  <c r="K306" i="1"/>
  <c r="L306" i="1"/>
  <c r="M306" i="1"/>
  <c r="O306" i="1"/>
  <c r="P306" i="1"/>
  <c r="A307" i="1"/>
  <c r="B307" i="1"/>
  <c r="D307" i="1"/>
  <c r="E307" i="1"/>
  <c r="F307" i="1"/>
  <c r="G307" i="1"/>
  <c r="H307" i="1"/>
  <c r="I307" i="1"/>
  <c r="J307" i="1"/>
  <c r="K307" i="1"/>
  <c r="L307" i="1"/>
  <c r="M307" i="1"/>
  <c r="O307" i="1"/>
  <c r="P307" i="1"/>
  <c r="A308" i="1"/>
  <c r="B308" i="1"/>
  <c r="D308" i="1"/>
  <c r="E308" i="1"/>
  <c r="F308" i="1"/>
  <c r="G308" i="1"/>
  <c r="H308" i="1"/>
  <c r="I308" i="1"/>
  <c r="J308" i="1"/>
  <c r="K308" i="1"/>
  <c r="L308" i="1"/>
  <c r="M308" i="1"/>
  <c r="O308" i="1"/>
  <c r="P308" i="1"/>
  <c r="A309" i="1"/>
  <c r="B309" i="1"/>
  <c r="D309" i="1"/>
  <c r="E309" i="1"/>
  <c r="F309" i="1"/>
  <c r="G309" i="1"/>
  <c r="H309" i="1"/>
  <c r="I309" i="1"/>
  <c r="J309" i="1"/>
  <c r="K309" i="1"/>
  <c r="L309" i="1"/>
  <c r="M309" i="1"/>
  <c r="O309" i="1"/>
  <c r="P309" i="1"/>
  <c r="A310" i="1"/>
  <c r="B310" i="1"/>
  <c r="D310" i="1"/>
  <c r="E310" i="1"/>
  <c r="F310" i="1"/>
  <c r="G310" i="1"/>
  <c r="H310" i="1"/>
  <c r="I310" i="1"/>
  <c r="J310" i="1"/>
  <c r="K310" i="1"/>
  <c r="L310" i="1"/>
  <c r="M310" i="1"/>
  <c r="O310" i="1"/>
  <c r="P310" i="1"/>
  <c r="A311" i="1"/>
  <c r="B311" i="1"/>
  <c r="D311" i="1"/>
  <c r="E311" i="1"/>
  <c r="F311" i="1"/>
  <c r="G311" i="1"/>
  <c r="H311" i="1"/>
  <c r="I311" i="1"/>
  <c r="J311" i="1"/>
  <c r="K311" i="1"/>
  <c r="L311" i="1"/>
  <c r="M311" i="1"/>
  <c r="O311" i="1"/>
  <c r="P311" i="1"/>
  <c r="A312" i="1"/>
  <c r="B312" i="1"/>
  <c r="D312" i="1"/>
  <c r="E312" i="1"/>
  <c r="F312" i="1"/>
  <c r="G312" i="1"/>
  <c r="H312" i="1"/>
  <c r="I312" i="1"/>
  <c r="J312" i="1"/>
  <c r="K312" i="1"/>
  <c r="L312" i="1"/>
  <c r="M312" i="1"/>
  <c r="O312" i="1"/>
  <c r="P312" i="1"/>
  <c r="A313" i="1"/>
  <c r="B313" i="1"/>
  <c r="D313" i="1"/>
  <c r="E313" i="1"/>
  <c r="F313" i="1"/>
  <c r="G313" i="1"/>
  <c r="H313" i="1"/>
  <c r="I313" i="1"/>
  <c r="J313" i="1"/>
  <c r="K313" i="1"/>
  <c r="L313" i="1"/>
  <c r="M313" i="1"/>
  <c r="O313" i="1"/>
  <c r="P313" i="1"/>
  <c r="A314" i="1"/>
  <c r="B314" i="1"/>
  <c r="D314" i="1"/>
  <c r="E314" i="1"/>
  <c r="F314" i="1"/>
  <c r="G314" i="1"/>
  <c r="H314" i="1"/>
  <c r="I314" i="1"/>
  <c r="J314" i="1"/>
  <c r="K314" i="1"/>
  <c r="L314" i="1"/>
  <c r="M314" i="1"/>
  <c r="O314" i="1"/>
  <c r="P314" i="1"/>
  <c r="A315" i="1"/>
  <c r="B315" i="1"/>
  <c r="D315" i="1"/>
  <c r="E315" i="1"/>
  <c r="F315" i="1"/>
  <c r="G315" i="1"/>
  <c r="H315" i="1"/>
  <c r="I315" i="1"/>
  <c r="J315" i="1"/>
  <c r="K315" i="1"/>
  <c r="L315" i="1"/>
  <c r="M315" i="1"/>
  <c r="O315" i="1"/>
  <c r="P315" i="1"/>
  <c r="A316" i="1"/>
  <c r="B316" i="1"/>
  <c r="D316" i="1"/>
  <c r="E316" i="1"/>
  <c r="F316" i="1"/>
  <c r="G316" i="1"/>
  <c r="H316" i="1"/>
  <c r="I316" i="1"/>
  <c r="J316" i="1"/>
  <c r="K316" i="1"/>
  <c r="L316" i="1"/>
  <c r="M316" i="1"/>
  <c r="O316" i="1"/>
  <c r="P316" i="1"/>
  <c r="A317" i="1"/>
  <c r="B317" i="1"/>
  <c r="D317" i="1"/>
  <c r="E317" i="1"/>
  <c r="F317" i="1"/>
  <c r="G317" i="1"/>
  <c r="H317" i="1"/>
  <c r="I317" i="1"/>
  <c r="J317" i="1"/>
  <c r="K317" i="1"/>
  <c r="L317" i="1"/>
  <c r="M317" i="1"/>
  <c r="O317" i="1"/>
  <c r="P317" i="1"/>
  <c r="A318" i="1"/>
  <c r="B318" i="1"/>
  <c r="D318" i="1"/>
  <c r="E318" i="1"/>
  <c r="F318" i="1"/>
  <c r="G318" i="1"/>
  <c r="H318" i="1"/>
  <c r="I318" i="1"/>
  <c r="J318" i="1"/>
  <c r="K318" i="1"/>
  <c r="L318" i="1"/>
  <c r="M318" i="1"/>
  <c r="O318" i="1"/>
  <c r="P318" i="1"/>
  <c r="A319" i="1"/>
  <c r="B319" i="1"/>
  <c r="D319" i="1"/>
  <c r="E319" i="1"/>
  <c r="F319" i="1"/>
  <c r="G319" i="1"/>
  <c r="H319" i="1"/>
  <c r="I319" i="1"/>
  <c r="J319" i="1"/>
  <c r="K319" i="1"/>
  <c r="L319" i="1"/>
  <c r="M319" i="1"/>
  <c r="O319" i="1"/>
  <c r="P319" i="1"/>
  <c r="A320" i="1"/>
  <c r="B320" i="1"/>
  <c r="D320" i="1"/>
  <c r="E320" i="1"/>
  <c r="F320" i="1"/>
  <c r="G320" i="1"/>
  <c r="H320" i="1"/>
  <c r="I320" i="1"/>
  <c r="J320" i="1"/>
  <c r="K320" i="1"/>
  <c r="L320" i="1"/>
  <c r="M320" i="1"/>
  <c r="O320" i="1"/>
  <c r="P320" i="1"/>
  <c r="A321" i="1"/>
  <c r="B321" i="1"/>
  <c r="D321" i="1"/>
  <c r="E321" i="1"/>
  <c r="F321" i="1"/>
  <c r="G321" i="1"/>
  <c r="H321" i="1"/>
  <c r="I321" i="1"/>
  <c r="J321" i="1"/>
  <c r="K321" i="1"/>
  <c r="L321" i="1"/>
  <c r="M321" i="1"/>
  <c r="O321" i="1"/>
  <c r="P321" i="1"/>
  <c r="A322" i="1"/>
  <c r="B322" i="1"/>
  <c r="D322" i="1"/>
  <c r="E322" i="1"/>
  <c r="F322" i="1"/>
  <c r="G322" i="1"/>
  <c r="H322" i="1"/>
  <c r="I322" i="1"/>
  <c r="J322" i="1"/>
  <c r="K322" i="1"/>
  <c r="L322" i="1"/>
  <c r="M322" i="1"/>
  <c r="O322" i="1"/>
  <c r="P322" i="1"/>
  <c r="A323" i="1"/>
  <c r="B323" i="1"/>
  <c r="D323" i="1"/>
  <c r="E323" i="1"/>
  <c r="F323" i="1"/>
  <c r="G323" i="1"/>
  <c r="H323" i="1"/>
  <c r="I323" i="1"/>
  <c r="J323" i="1"/>
  <c r="K323" i="1"/>
  <c r="L323" i="1"/>
  <c r="M323" i="1"/>
  <c r="O323" i="1"/>
  <c r="P323" i="1"/>
  <c r="A324" i="1"/>
  <c r="B324" i="1"/>
  <c r="D324" i="1"/>
  <c r="E324" i="1"/>
  <c r="F324" i="1"/>
  <c r="G324" i="1"/>
  <c r="H324" i="1"/>
  <c r="I324" i="1"/>
  <c r="J324" i="1"/>
  <c r="K324" i="1"/>
  <c r="L324" i="1"/>
  <c r="M324" i="1"/>
  <c r="O324" i="1"/>
  <c r="P324" i="1"/>
  <c r="A325" i="1"/>
  <c r="B325" i="1"/>
  <c r="D325" i="1"/>
  <c r="E325" i="1"/>
  <c r="F325" i="1"/>
  <c r="G325" i="1"/>
  <c r="H325" i="1"/>
  <c r="I325" i="1"/>
  <c r="J325" i="1"/>
  <c r="K325" i="1"/>
  <c r="L325" i="1"/>
  <c r="M325" i="1"/>
  <c r="O325" i="1"/>
  <c r="P325" i="1"/>
  <c r="A326" i="1"/>
  <c r="B326" i="1"/>
  <c r="D326" i="1"/>
  <c r="E326" i="1"/>
  <c r="F326" i="1"/>
  <c r="G326" i="1"/>
  <c r="H326" i="1"/>
  <c r="I326" i="1"/>
  <c r="J326" i="1"/>
  <c r="K326" i="1"/>
  <c r="L326" i="1"/>
  <c r="M326" i="1"/>
  <c r="O326" i="1"/>
  <c r="P326" i="1"/>
  <c r="A327" i="1"/>
  <c r="B327" i="1"/>
  <c r="D327" i="1"/>
  <c r="E327" i="1"/>
  <c r="F327" i="1"/>
  <c r="G327" i="1"/>
  <c r="H327" i="1"/>
  <c r="I327" i="1"/>
  <c r="J327" i="1"/>
  <c r="K327" i="1"/>
  <c r="L327" i="1"/>
  <c r="M327" i="1"/>
  <c r="O327" i="1"/>
  <c r="P327" i="1"/>
  <c r="A328" i="1"/>
  <c r="B328" i="1"/>
  <c r="D328" i="1"/>
  <c r="E328" i="1"/>
  <c r="F328" i="1"/>
  <c r="G328" i="1"/>
  <c r="H328" i="1"/>
  <c r="I328" i="1"/>
  <c r="J328" i="1"/>
  <c r="K328" i="1"/>
  <c r="L328" i="1"/>
  <c r="M328" i="1"/>
  <c r="O328" i="1"/>
  <c r="P328" i="1"/>
  <c r="A329" i="1"/>
  <c r="B329" i="1"/>
  <c r="D329" i="1"/>
  <c r="E329" i="1"/>
  <c r="F329" i="1"/>
  <c r="G329" i="1"/>
  <c r="H329" i="1"/>
  <c r="I329" i="1"/>
  <c r="J329" i="1"/>
  <c r="K329" i="1"/>
  <c r="L329" i="1"/>
  <c r="M329" i="1"/>
  <c r="O329" i="1"/>
  <c r="P329" i="1"/>
  <c r="A330" i="1"/>
  <c r="B330" i="1"/>
  <c r="D330" i="1"/>
  <c r="E330" i="1"/>
  <c r="F330" i="1"/>
  <c r="G330" i="1"/>
  <c r="H330" i="1"/>
  <c r="I330" i="1"/>
  <c r="J330" i="1"/>
  <c r="K330" i="1"/>
  <c r="L330" i="1"/>
  <c r="M330" i="1"/>
  <c r="O330" i="1"/>
  <c r="P330" i="1"/>
  <c r="A331" i="1"/>
  <c r="B331" i="1"/>
  <c r="D331" i="1"/>
  <c r="E331" i="1"/>
  <c r="F331" i="1"/>
  <c r="G331" i="1"/>
  <c r="H331" i="1"/>
  <c r="I331" i="1"/>
  <c r="J331" i="1"/>
  <c r="K331" i="1"/>
  <c r="L331" i="1"/>
  <c r="M331" i="1"/>
  <c r="O331" i="1"/>
  <c r="P331" i="1"/>
  <c r="A332" i="1"/>
  <c r="B332" i="1"/>
  <c r="D332" i="1"/>
  <c r="E332" i="1"/>
  <c r="F332" i="1"/>
  <c r="G332" i="1"/>
  <c r="H332" i="1"/>
  <c r="I332" i="1"/>
  <c r="J332" i="1"/>
  <c r="K332" i="1"/>
  <c r="L332" i="1"/>
  <c r="M332" i="1"/>
  <c r="O332" i="1"/>
  <c r="P332" i="1"/>
  <c r="A333" i="1"/>
  <c r="B333" i="1"/>
  <c r="D333" i="1"/>
  <c r="E333" i="1"/>
  <c r="F333" i="1"/>
  <c r="G333" i="1"/>
  <c r="H333" i="1"/>
  <c r="I333" i="1"/>
  <c r="J333" i="1"/>
  <c r="K333" i="1"/>
  <c r="L333" i="1"/>
  <c r="M333" i="1"/>
  <c r="O333" i="1"/>
  <c r="P333" i="1"/>
  <c r="A334" i="1"/>
  <c r="B334" i="1"/>
  <c r="D334" i="1"/>
  <c r="E334" i="1"/>
  <c r="F334" i="1"/>
  <c r="G334" i="1"/>
  <c r="H334" i="1"/>
  <c r="I334" i="1"/>
  <c r="J334" i="1"/>
  <c r="K334" i="1"/>
  <c r="L334" i="1"/>
  <c r="M334" i="1"/>
  <c r="O334" i="1"/>
  <c r="P334" i="1"/>
  <c r="A335" i="1"/>
  <c r="B335" i="1"/>
  <c r="D335" i="1"/>
  <c r="E335" i="1"/>
  <c r="F335" i="1"/>
  <c r="G335" i="1"/>
  <c r="H335" i="1"/>
  <c r="I335" i="1"/>
  <c r="J335" i="1"/>
  <c r="K335" i="1"/>
  <c r="L335" i="1"/>
  <c r="M335" i="1"/>
  <c r="O335" i="1"/>
  <c r="P335" i="1"/>
  <c r="A336" i="1"/>
  <c r="B336" i="1"/>
  <c r="D336" i="1"/>
  <c r="E336" i="1"/>
  <c r="F336" i="1"/>
  <c r="G336" i="1"/>
  <c r="H336" i="1"/>
  <c r="I336" i="1"/>
  <c r="J336" i="1"/>
  <c r="K336" i="1"/>
  <c r="L336" i="1"/>
  <c r="M336" i="1"/>
  <c r="O336" i="1"/>
  <c r="P336" i="1"/>
  <c r="A337" i="1"/>
  <c r="B337" i="1"/>
  <c r="D337" i="1"/>
  <c r="E337" i="1"/>
  <c r="F337" i="1"/>
  <c r="G337" i="1"/>
  <c r="H337" i="1"/>
  <c r="I337" i="1"/>
  <c r="J337" i="1"/>
  <c r="K337" i="1"/>
  <c r="L337" i="1"/>
  <c r="M337" i="1"/>
  <c r="O337" i="1"/>
  <c r="P337" i="1"/>
  <c r="A338" i="1"/>
  <c r="B338" i="1"/>
  <c r="D338" i="1"/>
  <c r="E338" i="1"/>
  <c r="F338" i="1"/>
  <c r="G338" i="1"/>
  <c r="H338" i="1"/>
  <c r="I338" i="1"/>
  <c r="J338" i="1"/>
  <c r="K338" i="1"/>
  <c r="L338" i="1"/>
  <c r="M338" i="1"/>
  <c r="O338" i="1"/>
  <c r="P338" i="1"/>
  <c r="A339" i="1"/>
  <c r="B339" i="1"/>
  <c r="D339" i="1"/>
  <c r="E339" i="1"/>
  <c r="F339" i="1"/>
  <c r="G339" i="1"/>
  <c r="H339" i="1"/>
  <c r="I339" i="1"/>
  <c r="J339" i="1"/>
  <c r="K339" i="1"/>
  <c r="L339" i="1"/>
  <c r="M339" i="1"/>
  <c r="O339" i="1"/>
  <c r="P339" i="1"/>
  <c r="A340" i="1"/>
  <c r="B340" i="1"/>
  <c r="D340" i="1"/>
  <c r="E340" i="1"/>
  <c r="F340" i="1"/>
  <c r="G340" i="1"/>
  <c r="H340" i="1"/>
  <c r="I340" i="1"/>
  <c r="J340" i="1"/>
  <c r="K340" i="1"/>
  <c r="L340" i="1"/>
  <c r="M340" i="1"/>
  <c r="O340" i="1"/>
  <c r="P340" i="1"/>
  <c r="A341" i="1"/>
  <c r="B341" i="1"/>
  <c r="D341" i="1"/>
  <c r="E341" i="1"/>
  <c r="F341" i="1"/>
  <c r="G341" i="1"/>
  <c r="H341" i="1"/>
  <c r="I341" i="1"/>
  <c r="J341" i="1"/>
  <c r="K341" i="1"/>
  <c r="L341" i="1"/>
  <c r="M341" i="1"/>
  <c r="O341" i="1"/>
  <c r="P341" i="1"/>
  <c r="A342" i="1"/>
  <c r="B342" i="1"/>
  <c r="D342" i="1"/>
  <c r="E342" i="1"/>
  <c r="F342" i="1"/>
  <c r="G342" i="1"/>
  <c r="H342" i="1"/>
  <c r="I342" i="1"/>
  <c r="J342" i="1"/>
  <c r="K342" i="1"/>
  <c r="L342" i="1"/>
  <c r="M342" i="1"/>
  <c r="O342" i="1"/>
  <c r="P342" i="1"/>
  <c r="A343" i="1"/>
  <c r="B343" i="1"/>
  <c r="D343" i="1"/>
  <c r="E343" i="1"/>
  <c r="F343" i="1"/>
  <c r="G343" i="1"/>
  <c r="H343" i="1"/>
  <c r="I343" i="1"/>
  <c r="J343" i="1"/>
  <c r="K343" i="1"/>
  <c r="L343" i="1"/>
  <c r="M343" i="1"/>
  <c r="O343" i="1"/>
  <c r="P343" i="1"/>
  <c r="A344" i="1"/>
  <c r="B344" i="1"/>
  <c r="D344" i="1"/>
  <c r="E344" i="1"/>
  <c r="F344" i="1"/>
  <c r="G344" i="1"/>
  <c r="H344" i="1"/>
  <c r="I344" i="1"/>
  <c r="J344" i="1"/>
  <c r="K344" i="1"/>
  <c r="L344" i="1"/>
  <c r="M344" i="1"/>
  <c r="O344" i="1"/>
  <c r="P344" i="1"/>
  <c r="A345" i="1"/>
  <c r="B345" i="1"/>
  <c r="D345" i="1"/>
  <c r="E345" i="1"/>
  <c r="F345" i="1"/>
  <c r="G345" i="1"/>
  <c r="H345" i="1"/>
  <c r="I345" i="1"/>
  <c r="J345" i="1"/>
  <c r="K345" i="1"/>
  <c r="L345" i="1"/>
  <c r="M345" i="1"/>
  <c r="O345" i="1"/>
  <c r="P345" i="1"/>
  <c r="A346" i="1"/>
  <c r="B346" i="1"/>
  <c r="D346" i="1"/>
  <c r="E346" i="1"/>
  <c r="F346" i="1"/>
  <c r="G346" i="1"/>
  <c r="H346" i="1"/>
  <c r="I346" i="1"/>
  <c r="J346" i="1"/>
  <c r="K346" i="1"/>
  <c r="L346" i="1"/>
  <c r="M346" i="1"/>
  <c r="O346" i="1"/>
  <c r="P346" i="1"/>
  <c r="A347" i="1"/>
  <c r="B347" i="1"/>
  <c r="D347" i="1"/>
  <c r="E347" i="1"/>
  <c r="F347" i="1"/>
  <c r="G347" i="1"/>
  <c r="H347" i="1"/>
  <c r="I347" i="1"/>
  <c r="J347" i="1"/>
  <c r="K347" i="1"/>
  <c r="L347" i="1"/>
  <c r="M347" i="1"/>
  <c r="O347" i="1"/>
  <c r="P347" i="1"/>
  <c r="A348" i="1"/>
  <c r="B348" i="1"/>
  <c r="D348" i="1"/>
  <c r="E348" i="1"/>
  <c r="F348" i="1"/>
  <c r="G348" i="1"/>
  <c r="H348" i="1"/>
  <c r="I348" i="1"/>
  <c r="J348" i="1"/>
  <c r="K348" i="1"/>
  <c r="L348" i="1"/>
  <c r="M348" i="1"/>
  <c r="O348" i="1"/>
  <c r="P348" i="1"/>
  <c r="A349" i="1"/>
  <c r="B349" i="1"/>
  <c r="D349" i="1"/>
  <c r="E349" i="1"/>
  <c r="F349" i="1"/>
  <c r="G349" i="1"/>
  <c r="H349" i="1"/>
  <c r="I349" i="1"/>
  <c r="J349" i="1"/>
  <c r="K349" i="1"/>
  <c r="L349" i="1"/>
  <c r="M349" i="1"/>
  <c r="O349" i="1"/>
  <c r="P349" i="1"/>
  <c r="A350" i="1"/>
  <c r="B350" i="1"/>
  <c r="D350" i="1"/>
  <c r="E350" i="1"/>
  <c r="F350" i="1"/>
  <c r="G350" i="1"/>
  <c r="H350" i="1"/>
  <c r="I350" i="1"/>
  <c r="J350" i="1"/>
  <c r="K350" i="1"/>
  <c r="L350" i="1"/>
  <c r="M350" i="1"/>
  <c r="O350" i="1"/>
  <c r="P350" i="1"/>
  <c r="A351" i="1"/>
  <c r="B351" i="1"/>
  <c r="D351" i="1"/>
  <c r="E351" i="1"/>
  <c r="F351" i="1"/>
  <c r="G351" i="1"/>
  <c r="H351" i="1"/>
  <c r="I351" i="1"/>
  <c r="J351" i="1"/>
  <c r="K351" i="1"/>
  <c r="L351" i="1"/>
  <c r="M351" i="1"/>
  <c r="O351" i="1"/>
  <c r="P351" i="1"/>
  <c r="A352" i="1"/>
  <c r="B352" i="1"/>
  <c r="D352" i="1"/>
  <c r="E352" i="1"/>
  <c r="F352" i="1"/>
  <c r="G352" i="1"/>
  <c r="H352" i="1"/>
  <c r="I352" i="1"/>
  <c r="J352" i="1"/>
  <c r="K352" i="1"/>
  <c r="L352" i="1"/>
  <c r="M352" i="1"/>
  <c r="O352" i="1"/>
  <c r="P352" i="1"/>
  <c r="A353" i="1"/>
  <c r="B353" i="1"/>
  <c r="D353" i="1"/>
  <c r="E353" i="1"/>
  <c r="F353" i="1"/>
  <c r="G353" i="1"/>
  <c r="H353" i="1"/>
  <c r="I353" i="1"/>
  <c r="J353" i="1"/>
  <c r="K353" i="1"/>
  <c r="L353" i="1"/>
  <c r="M353" i="1"/>
  <c r="O353" i="1"/>
  <c r="P353" i="1"/>
  <c r="A354" i="1"/>
  <c r="B354" i="1"/>
  <c r="D354" i="1"/>
  <c r="E354" i="1"/>
  <c r="F354" i="1"/>
  <c r="G354" i="1"/>
  <c r="H354" i="1"/>
  <c r="I354" i="1"/>
  <c r="J354" i="1"/>
  <c r="K354" i="1"/>
  <c r="L354" i="1"/>
  <c r="M354" i="1"/>
  <c r="O354" i="1"/>
  <c r="P354" i="1"/>
  <c r="A355" i="1"/>
  <c r="B355" i="1"/>
  <c r="D355" i="1"/>
  <c r="E355" i="1"/>
  <c r="F355" i="1"/>
  <c r="G355" i="1"/>
  <c r="H355" i="1"/>
  <c r="I355" i="1"/>
  <c r="J355" i="1"/>
  <c r="K355" i="1"/>
  <c r="L355" i="1"/>
  <c r="M355" i="1"/>
  <c r="O355" i="1"/>
  <c r="P355" i="1"/>
  <c r="A356" i="1"/>
  <c r="B356" i="1"/>
  <c r="D356" i="1"/>
  <c r="E356" i="1"/>
  <c r="F356" i="1"/>
  <c r="G356" i="1"/>
  <c r="H356" i="1"/>
  <c r="I356" i="1"/>
  <c r="J356" i="1"/>
  <c r="K356" i="1"/>
  <c r="L356" i="1"/>
  <c r="M356" i="1"/>
  <c r="O356" i="1"/>
  <c r="P356" i="1"/>
  <c r="A357" i="1"/>
  <c r="B357" i="1"/>
  <c r="D357" i="1"/>
  <c r="E357" i="1"/>
  <c r="F357" i="1"/>
  <c r="G357" i="1"/>
  <c r="H357" i="1"/>
  <c r="I357" i="1"/>
  <c r="J357" i="1"/>
  <c r="K357" i="1"/>
  <c r="L357" i="1"/>
  <c r="M357" i="1"/>
  <c r="O357" i="1"/>
  <c r="P357" i="1"/>
  <c r="A358" i="1"/>
  <c r="B358" i="1"/>
  <c r="D358" i="1"/>
  <c r="E358" i="1"/>
  <c r="F358" i="1"/>
  <c r="G358" i="1"/>
  <c r="H358" i="1"/>
  <c r="I358" i="1"/>
  <c r="J358" i="1"/>
  <c r="K358" i="1"/>
  <c r="L358" i="1"/>
  <c r="M358" i="1"/>
  <c r="O358" i="1"/>
  <c r="P358" i="1"/>
  <c r="A359" i="1"/>
  <c r="B359" i="1"/>
  <c r="D359" i="1"/>
  <c r="E359" i="1"/>
  <c r="F359" i="1"/>
  <c r="G359" i="1"/>
  <c r="H359" i="1"/>
  <c r="I359" i="1"/>
  <c r="J359" i="1"/>
  <c r="K359" i="1"/>
  <c r="L359" i="1"/>
  <c r="M359" i="1"/>
  <c r="O359" i="1"/>
  <c r="P359" i="1"/>
  <c r="A360" i="1"/>
  <c r="B360" i="1"/>
  <c r="D360" i="1"/>
  <c r="E360" i="1"/>
  <c r="F360" i="1"/>
  <c r="G360" i="1"/>
  <c r="H360" i="1"/>
  <c r="I360" i="1"/>
  <c r="J360" i="1"/>
  <c r="K360" i="1"/>
  <c r="L360" i="1"/>
  <c r="M360" i="1"/>
  <c r="O360" i="1"/>
  <c r="P360" i="1"/>
  <c r="A361" i="1"/>
  <c r="B361" i="1"/>
  <c r="D361" i="1"/>
  <c r="E361" i="1"/>
  <c r="F361" i="1"/>
  <c r="G361" i="1"/>
  <c r="H361" i="1"/>
  <c r="I361" i="1"/>
  <c r="J361" i="1"/>
  <c r="K361" i="1"/>
  <c r="L361" i="1"/>
  <c r="M361" i="1"/>
  <c r="O361" i="1"/>
  <c r="P361" i="1"/>
  <c r="A362" i="1"/>
  <c r="B362" i="1"/>
  <c r="D362" i="1"/>
  <c r="E362" i="1"/>
  <c r="F362" i="1"/>
  <c r="G362" i="1"/>
  <c r="H362" i="1"/>
  <c r="I362" i="1"/>
  <c r="J362" i="1"/>
  <c r="K362" i="1"/>
  <c r="L362" i="1"/>
  <c r="M362" i="1"/>
  <c r="O362" i="1"/>
  <c r="P362" i="1"/>
  <c r="A363" i="1"/>
  <c r="B363" i="1"/>
  <c r="D363" i="1"/>
  <c r="E363" i="1"/>
  <c r="F363" i="1"/>
  <c r="G363" i="1"/>
  <c r="H363" i="1"/>
  <c r="I363" i="1"/>
  <c r="J363" i="1"/>
  <c r="K363" i="1"/>
  <c r="L363" i="1"/>
  <c r="M363" i="1"/>
  <c r="O363" i="1"/>
  <c r="P363" i="1"/>
  <c r="A364" i="1"/>
  <c r="B364" i="1"/>
  <c r="D364" i="1"/>
  <c r="E364" i="1"/>
  <c r="F364" i="1"/>
  <c r="G364" i="1"/>
  <c r="H364" i="1"/>
  <c r="I364" i="1"/>
  <c r="J364" i="1"/>
  <c r="K364" i="1"/>
  <c r="L364" i="1"/>
  <c r="M364" i="1"/>
  <c r="O364" i="1"/>
  <c r="P364" i="1"/>
  <c r="A365" i="1"/>
  <c r="B365" i="1"/>
  <c r="D365" i="1"/>
  <c r="E365" i="1"/>
  <c r="F365" i="1"/>
  <c r="G365" i="1"/>
  <c r="H365" i="1"/>
  <c r="I365" i="1"/>
  <c r="J365" i="1"/>
  <c r="K365" i="1"/>
  <c r="L365" i="1"/>
  <c r="M365" i="1"/>
  <c r="O365" i="1"/>
  <c r="P365" i="1"/>
  <c r="A366" i="1"/>
  <c r="B366" i="1"/>
  <c r="D366" i="1"/>
  <c r="E366" i="1"/>
  <c r="F366" i="1"/>
  <c r="G366" i="1"/>
  <c r="H366" i="1"/>
  <c r="I366" i="1"/>
  <c r="J366" i="1"/>
  <c r="K366" i="1"/>
  <c r="L366" i="1"/>
  <c r="M366" i="1"/>
  <c r="O366" i="1"/>
  <c r="P366" i="1"/>
  <c r="A367" i="1"/>
  <c r="B367" i="1"/>
  <c r="D367" i="1"/>
  <c r="E367" i="1"/>
  <c r="F367" i="1"/>
  <c r="G367" i="1"/>
  <c r="H367" i="1"/>
  <c r="I367" i="1"/>
  <c r="J367" i="1"/>
  <c r="K367" i="1"/>
  <c r="L367" i="1"/>
  <c r="M367" i="1"/>
  <c r="O367" i="1"/>
  <c r="P367" i="1"/>
  <c r="A368" i="1"/>
  <c r="B368" i="1"/>
  <c r="D368" i="1"/>
  <c r="E368" i="1"/>
  <c r="F368" i="1"/>
  <c r="G368" i="1"/>
  <c r="H368" i="1"/>
  <c r="I368" i="1"/>
  <c r="J368" i="1"/>
  <c r="K368" i="1"/>
  <c r="L368" i="1"/>
  <c r="M368" i="1"/>
  <c r="O368" i="1"/>
  <c r="P368" i="1"/>
  <c r="A369" i="1"/>
  <c r="B369" i="1"/>
  <c r="D369" i="1"/>
  <c r="E369" i="1"/>
  <c r="F369" i="1"/>
  <c r="G369" i="1"/>
  <c r="H369" i="1"/>
  <c r="I369" i="1"/>
  <c r="J369" i="1"/>
  <c r="K369" i="1"/>
  <c r="L369" i="1"/>
  <c r="M369" i="1"/>
  <c r="O369" i="1"/>
  <c r="P369" i="1"/>
  <c r="A370" i="1"/>
  <c r="B370" i="1"/>
  <c r="D370" i="1"/>
  <c r="E370" i="1"/>
  <c r="F370" i="1"/>
  <c r="G370" i="1"/>
  <c r="H370" i="1"/>
  <c r="I370" i="1"/>
  <c r="J370" i="1"/>
  <c r="K370" i="1"/>
  <c r="L370" i="1"/>
  <c r="M370" i="1"/>
  <c r="O370" i="1"/>
  <c r="P370" i="1"/>
  <c r="A371" i="1"/>
  <c r="B371" i="1"/>
  <c r="D371" i="1"/>
  <c r="E371" i="1"/>
  <c r="F371" i="1"/>
  <c r="G371" i="1"/>
  <c r="H371" i="1"/>
  <c r="I371" i="1"/>
  <c r="J371" i="1"/>
  <c r="K371" i="1"/>
  <c r="L371" i="1"/>
  <c r="M371" i="1"/>
  <c r="O371" i="1"/>
  <c r="P371" i="1"/>
  <c r="A372" i="1"/>
  <c r="B372" i="1"/>
  <c r="D372" i="1"/>
  <c r="E372" i="1"/>
  <c r="F372" i="1"/>
  <c r="G372" i="1"/>
  <c r="H372" i="1"/>
  <c r="I372" i="1"/>
  <c r="J372" i="1"/>
  <c r="K372" i="1"/>
  <c r="L372" i="1"/>
  <c r="M372" i="1"/>
  <c r="O372" i="1"/>
  <c r="P372" i="1"/>
  <c r="A373" i="1"/>
  <c r="B373" i="1"/>
  <c r="D373" i="1"/>
  <c r="E373" i="1"/>
  <c r="F373" i="1"/>
  <c r="G373" i="1"/>
  <c r="H373" i="1"/>
  <c r="I373" i="1"/>
  <c r="J373" i="1"/>
  <c r="K373" i="1"/>
  <c r="L373" i="1"/>
  <c r="M373" i="1"/>
  <c r="O373" i="1"/>
  <c r="P373" i="1"/>
  <c r="A374" i="1"/>
  <c r="B374" i="1"/>
  <c r="D374" i="1"/>
  <c r="E374" i="1"/>
  <c r="F374" i="1"/>
  <c r="G374" i="1"/>
  <c r="H374" i="1"/>
  <c r="I374" i="1"/>
  <c r="J374" i="1"/>
  <c r="K374" i="1"/>
  <c r="L374" i="1"/>
  <c r="M374" i="1"/>
  <c r="O374" i="1"/>
  <c r="P374" i="1"/>
  <c r="A375" i="1"/>
  <c r="B375" i="1"/>
  <c r="D375" i="1"/>
  <c r="E375" i="1"/>
  <c r="F375" i="1"/>
  <c r="G375" i="1"/>
  <c r="H375" i="1"/>
  <c r="I375" i="1"/>
  <c r="J375" i="1"/>
  <c r="K375" i="1"/>
  <c r="L375" i="1"/>
  <c r="M375" i="1"/>
  <c r="O375" i="1"/>
  <c r="P375" i="1"/>
  <c r="A376" i="1"/>
  <c r="B376" i="1"/>
  <c r="D376" i="1"/>
  <c r="E376" i="1"/>
  <c r="F376" i="1"/>
  <c r="G376" i="1"/>
  <c r="H376" i="1"/>
  <c r="I376" i="1"/>
  <c r="J376" i="1"/>
  <c r="K376" i="1"/>
  <c r="L376" i="1"/>
  <c r="M376" i="1"/>
  <c r="O376" i="1"/>
  <c r="P376" i="1"/>
  <c r="A377" i="1"/>
  <c r="B377" i="1"/>
  <c r="D377" i="1"/>
  <c r="E377" i="1"/>
  <c r="F377" i="1"/>
  <c r="G377" i="1"/>
  <c r="H377" i="1"/>
  <c r="I377" i="1"/>
  <c r="J377" i="1"/>
  <c r="K377" i="1"/>
  <c r="L377" i="1"/>
  <c r="M377" i="1"/>
  <c r="O377" i="1"/>
  <c r="P377" i="1"/>
  <c r="A378" i="1"/>
  <c r="B378" i="1"/>
  <c r="D378" i="1"/>
  <c r="E378" i="1"/>
  <c r="F378" i="1"/>
  <c r="G378" i="1"/>
  <c r="H378" i="1"/>
  <c r="I378" i="1"/>
  <c r="J378" i="1"/>
  <c r="K378" i="1"/>
  <c r="L378" i="1"/>
  <c r="M378" i="1"/>
  <c r="O378" i="1"/>
  <c r="P378" i="1"/>
  <c r="A379" i="1"/>
  <c r="B379" i="1"/>
  <c r="D379" i="1"/>
  <c r="E379" i="1"/>
  <c r="F379" i="1"/>
  <c r="G379" i="1"/>
  <c r="H379" i="1"/>
  <c r="I379" i="1"/>
  <c r="J379" i="1"/>
  <c r="K379" i="1"/>
  <c r="L379" i="1"/>
  <c r="M379" i="1"/>
  <c r="O379" i="1"/>
  <c r="P379" i="1"/>
  <c r="A380" i="1"/>
  <c r="B380" i="1"/>
  <c r="D380" i="1"/>
  <c r="E380" i="1"/>
  <c r="F380" i="1"/>
  <c r="G380" i="1"/>
  <c r="H380" i="1"/>
  <c r="I380" i="1"/>
  <c r="J380" i="1"/>
  <c r="K380" i="1"/>
  <c r="L380" i="1"/>
  <c r="M380" i="1"/>
  <c r="O380" i="1"/>
  <c r="P380" i="1"/>
  <c r="A381" i="1"/>
  <c r="B381" i="1"/>
  <c r="D381" i="1"/>
  <c r="E381" i="1"/>
  <c r="F381" i="1"/>
  <c r="G381" i="1"/>
  <c r="H381" i="1"/>
  <c r="I381" i="1"/>
  <c r="J381" i="1"/>
  <c r="K381" i="1"/>
  <c r="L381" i="1"/>
  <c r="M381" i="1"/>
  <c r="O381" i="1"/>
  <c r="P381" i="1"/>
  <c r="A382" i="1"/>
  <c r="B382" i="1"/>
  <c r="D382" i="1"/>
  <c r="E382" i="1"/>
  <c r="F382" i="1"/>
  <c r="G382" i="1"/>
  <c r="H382" i="1"/>
  <c r="I382" i="1"/>
  <c r="J382" i="1"/>
  <c r="K382" i="1"/>
  <c r="L382" i="1"/>
  <c r="M382" i="1"/>
  <c r="O382" i="1"/>
  <c r="P382" i="1"/>
  <c r="A383" i="1"/>
  <c r="B383" i="1"/>
  <c r="D383" i="1"/>
  <c r="E383" i="1"/>
  <c r="F383" i="1"/>
  <c r="G383" i="1"/>
  <c r="H383" i="1"/>
  <c r="I383" i="1"/>
  <c r="J383" i="1"/>
  <c r="K383" i="1"/>
  <c r="L383" i="1"/>
  <c r="M383" i="1"/>
  <c r="O383" i="1"/>
  <c r="P383" i="1"/>
  <c r="A384" i="1"/>
  <c r="B384" i="1"/>
  <c r="D384" i="1"/>
  <c r="E384" i="1"/>
  <c r="F384" i="1"/>
  <c r="G384" i="1"/>
  <c r="H384" i="1"/>
  <c r="I384" i="1"/>
  <c r="J384" i="1"/>
  <c r="K384" i="1"/>
  <c r="L384" i="1"/>
  <c r="M384" i="1"/>
  <c r="O384" i="1"/>
  <c r="P384" i="1"/>
  <c r="A385" i="1"/>
  <c r="B385" i="1"/>
  <c r="D385" i="1"/>
  <c r="E385" i="1"/>
  <c r="F385" i="1"/>
  <c r="G385" i="1"/>
  <c r="H385" i="1"/>
  <c r="I385" i="1"/>
  <c r="J385" i="1"/>
  <c r="K385" i="1"/>
  <c r="L385" i="1"/>
  <c r="M385" i="1"/>
  <c r="O385" i="1"/>
  <c r="P385" i="1"/>
  <c r="A386" i="1"/>
  <c r="B386" i="1"/>
  <c r="D386" i="1"/>
  <c r="E386" i="1"/>
  <c r="F386" i="1"/>
  <c r="G386" i="1"/>
  <c r="H386" i="1"/>
  <c r="I386" i="1"/>
  <c r="J386" i="1"/>
  <c r="K386" i="1"/>
  <c r="L386" i="1"/>
  <c r="M386" i="1"/>
  <c r="O386" i="1"/>
  <c r="P386" i="1"/>
  <c r="A387" i="1"/>
  <c r="B387" i="1"/>
  <c r="D387" i="1"/>
  <c r="E387" i="1"/>
  <c r="F387" i="1"/>
  <c r="G387" i="1"/>
  <c r="H387" i="1"/>
  <c r="I387" i="1"/>
  <c r="J387" i="1"/>
  <c r="K387" i="1"/>
  <c r="L387" i="1"/>
  <c r="M387" i="1"/>
  <c r="O387" i="1"/>
  <c r="P387" i="1"/>
  <c r="A388" i="1"/>
  <c r="B388" i="1"/>
  <c r="D388" i="1"/>
  <c r="E388" i="1"/>
  <c r="F388" i="1"/>
  <c r="G388" i="1"/>
  <c r="H388" i="1"/>
  <c r="I388" i="1"/>
  <c r="J388" i="1"/>
  <c r="K388" i="1"/>
  <c r="L388" i="1"/>
  <c r="M388" i="1"/>
  <c r="O388" i="1"/>
  <c r="P388" i="1"/>
  <c r="A389" i="1"/>
  <c r="B389" i="1"/>
  <c r="D389" i="1"/>
  <c r="E389" i="1"/>
  <c r="F389" i="1"/>
  <c r="G389" i="1"/>
  <c r="H389" i="1"/>
  <c r="I389" i="1"/>
  <c r="J389" i="1"/>
  <c r="K389" i="1"/>
  <c r="L389" i="1"/>
  <c r="M389" i="1"/>
  <c r="O389" i="1"/>
  <c r="P389" i="1"/>
  <c r="A390" i="1"/>
  <c r="B390" i="1"/>
  <c r="D390" i="1"/>
  <c r="E390" i="1"/>
  <c r="F390" i="1"/>
  <c r="G390" i="1"/>
  <c r="H390" i="1"/>
  <c r="I390" i="1"/>
  <c r="J390" i="1"/>
  <c r="K390" i="1"/>
  <c r="L390" i="1"/>
  <c r="M390" i="1"/>
  <c r="O390" i="1"/>
  <c r="P390" i="1"/>
  <c r="A391" i="1"/>
  <c r="B391" i="1"/>
  <c r="D391" i="1"/>
  <c r="E391" i="1"/>
  <c r="F391" i="1"/>
  <c r="G391" i="1"/>
  <c r="H391" i="1"/>
  <c r="I391" i="1"/>
  <c r="J391" i="1"/>
  <c r="K391" i="1"/>
  <c r="L391" i="1"/>
  <c r="M391" i="1"/>
  <c r="O391" i="1"/>
  <c r="P391" i="1"/>
  <c r="A392" i="1"/>
  <c r="B392" i="1"/>
  <c r="D392" i="1"/>
  <c r="E392" i="1"/>
  <c r="F392" i="1"/>
  <c r="G392" i="1"/>
  <c r="H392" i="1"/>
  <c r="I392" i="1"/>
  <c r="J392" i="1"/>
  <c r="K392" i="1"/>
  <c r="L392" i="1"/>
  <c r="M392" i="1"/>
  <c r="O392" i="1"/>
  <c r="P392" i="1"/>
  <c r="A393" i="1"/>
  <c r="B393" i="1"/>
  <c r="D393" i="1"/>
  <c r="E393" i="1"/>
  <c r="F393" i="1"/>
  <c r="G393" i="1"/>
  <c r="H393" i="1"/>
  <c r="I393" i="1"/>
  <c r="J393" i="1"/>
  <c r="K393" i="1"/>
  <c r="L393" i="1"/>
  <c r="M393" i="1"/>
  <c r="O393" i="1"/>
  <c r="P393" i="1"/>
  <c r="A394" i="1"/>
  <c r="B394" i="1"/>
  <c r="D394" i="1"/>
  <c r="E394" i="1"/>
  <c r="F394" i="1"/>
  <c r="G394" i="1"/>
  <c r="H394" i="1"/>
  <c r="I394" i="1"/>
  <c r="J394" i="1"/>
  <c r="K394" i="1"/>
  <c r="L394" i="1"/>
  <c r="M394" i="1"/>
  <c r="O394" i="1"/>
  <c r="P394" i="1"/>
  <c r="A395" i="1"/>
  <c r="B395" i="1"/>
  <c r="D395" i="1"/>
  <c r="E395" i="1"/>
  <c r="F395" i="1"/>
  <c r="G395" i="1"/>
  <c r="H395" i="1"/>
  <c r="I395" i="1"/>
  <c r="J395" i="1"/>
  <c r="K395" i="1"/>
  <c r="L395" i="1"/>
  <c r="M395" i="1"/>
  <c r="O395" i="1"/>
  <c r="P395" i="1"/>
  <c r="A396" i="1"/>
  <c r="B396" i="1"/>
  <c r="D396" i="1"/>
  <c r="E396" i="1"/>
  <c r="F396" i="1"/>
  <c r="G396" i="1"/>
  <c r="H396" i="1"/>
  <c r="I396" i="1"/>
  <c r="J396" i="1"/>
  <c r="K396" i="1"/>
  <c r="L396" i="1"/>
  <c r="M396" i="1"/>
  <c r="O396" i="1"/>
  <c r="P396" i="1"/>
  <c r="A397" i="1"/>
  <c r="B397" i="1"/>
  <c r="D397" i="1"/>
  <c r="E397" i="1"/>
  <c r="F397" i="1"/>
  <c r="G397" i="1"/>
  <c r="H397" i="1"/>
  <c r="I397" i="1"/>
  <c r="J397" i="1"/>
  <c r="K397" i="1"/>
  <c r="L397" i="1"/>
  <c r="M397" i="1"/>
  <c r="O397" i="1"/>
  <c r="P397" i="1"/>
  <c r="A398" i="1"/>
  <c r="B398" i="1"/>
  <c r="D398" i="1"/>
  <c r="E398" i="1"/>
  <c r="F398" i="1"/>
  <c r="G398" i="1"/>
  <c r="H398" i="1"/>
  <c r="I398" i="1"/>
  <c r="J398" i="1"/>
  <c r="K398" i="1"/>
  <c r="L398" i="1"/>
  <c r="M398" i="1"/>
  <c r="O398" i="1"/>
  <c r="P398" i="1"/>
  <c r="A399" i="1"/>
  <c r="B399" i="1"/>
  <c r="D399" i="1"/>
  <c r="E399" i="1"/>
  <c r="F399" i="1"/>
  <c r="G399" i="1"/>
  <c r="H399" i="1"/>
  <c r="I399" i="1"/>
  <c r="J399" i="1"/>
  <c r="K399" i="1"/>
  <c r="L399" i="1"/>
  <c r="M399" i="1"/>
  <c r="O399" i="1"/>
  <c r="P399" i="1"/>
  <c r="A400" i="1"/>
  <c r="B400" i="1"/>
  <c r="D400" i="1"/>
  <c r="E400" i="1"/>
  <c r="F400" i="1"/>
  <c r="G400" i="1"/>
  <c r="H400" i="1"/>
  <c r="I400" i="1"/>
  <c r="J400" i="1"/>
  <c r="K400" i="1"/>
  <c r="L400" i="1"/>
  <c r="M400" i="1"/>
  <c r="O400" i="1"/>
  <c r="P400" i="1"/>
  <c r="A401" i="1"/>
  <c r="B401" i="1"/>
  <c r="D401" i="1"/>
  <c r="E401" i="1"/>
  <c r="F401" i="1"/>
  <c r="G401" i="1"/>
  <c r="H401" i="1"/>
  <c r="I401" i="1"/>
  <c r="J401" i="1"/>
  <c r="K401" i="1"/>
  <c r="L401" i="1"/>
  <c r="M401" i="1"/>
  <c r="O401" i="1"/>
  <c r="P401" i="1"/>
  <c r="A402" i="1"/>
  <c r="B402" i="1"/>
  <c r="D402" i="1"/>
  <c r="E402" i="1"/>
  <c r="F402" i="1"/>
  <c r="G402" i="1"/>
  <c r="H402" i="1"/>
  <c r="I402" i="1"/>
  <c r="J402" i="1"/>
  <c r="K402" i="1"/>
  <c r="L402" i="1"/>
  <c r="M402" i="1"/>
  <c r="O402" i="1"/>
  <c r="P402" i="1"/>
  <c r="A403" i="1"/>
  <c r="B403" i="1"/>
  <c r="D403" i="1"/>
  <c r="E403" i="1"/>
  <c r="F403" i="1"/>
  <c r="G403" i="1"/>
  <c r="H403" i="1"/>
  <c r="I403" i="1"/>
  <c r="J403" i="1"/>
  <c r="K403" i="1"/>
  <c r="L403" i="1"/>
  <c r="M403" i="1"/>
  <c r="O403" i="1"/>
  <c r="P403" i="1"/>
  <c r="A404" i="1"/>
  <c r="B404" i="1"/>
  <c r="D404" i="1"/>
  <c r="E404" i="1"/>
  <c r="F404" i="1"/>
  <c r="G404" i="1"/>
  <c r="H404" i="1"/>
  <c r="I404" i="1"/>
  <c r="J404" i="1"/>
  <c r="K404" i="1"/>
  <c r="L404" i="1"/>
  <c r="M404" i="1"/>
  <c r="O404" i="1"/>
  <c r="P404" i="1"/>
  <c r="A405" i="1"/>
  <c r="B405" i="1"/>
  <c r="D405" i="1"/>
  <c r="E405" i="1"/>
  <c r="F405" i="1"/>
  <c r="G405" i="1"/>
  <c r="H405" i="1"/>
  <c r="I405" i="1"/>
  <c r="J405" i="1"/>
  <c r="K405" i="1"/>
  <c r="L405" i="1"/>
  <c r="M405" i="1"/>
  <c r="O405" i="1"/>
  <c r="P405" i="1"/>
  <c r="A406" i="1"/>
  <c r="B406" i="1"/>
  <c r="D406" i="1"/>
  <c r="E406" i="1"/>
  <c r="F406" i="1"/>
  <c r="G406" i="1"/>
  <c r="H406" i="1"/>
  <c r="I406" i="1"/>
  <c r="J406" i="1"/>
  <c r="K406" i="1"/>
  <c r="L406" i="1"/>
  <c r="M406" i="1"/>
  <c r="O406" i="1"/>
  <c r="P406" i="1"/>
  <c r="A407" i="1"/>
  <c r="B407" i="1"/>
  <c r="D407" i="1"/>
  <c r="E407" i="1"/>
  <c r="F407" i="1"/>
  <c r="G407" i="1"/>
  <c r="H407" i="1"/>
  <c r="I407" i="1"/>
  <c r="J407" i="1"/>
  <c r="K407" i="1"/>
  <c r="L407" i="1"/>
  <c r="M407" i="1"/>
  <c r="O407" i="1"/>
  <c r="P407" i="1"/>
  <c r="A408" i="1"/>
  <c r="B408" i="1"/>
  <c r="D408" i="1"/>
  <c r="E408" i="1"/>
  <c r="F408" i="1"/>
  <c r="G408" i="1"/>
  <c r="H408" i="1"/>
  <c r="I408" i="1"/>
  <c r="J408" i="1"/>
  <c r="K408" i="1"/>
  <c r="L408" i="1"/>
  <c r="M408" i="1"/>
  <c r="O408" i="1"/>
  <c r="P408" i="1"/>
  <c r="A409" i="1"/>
  <c r="B409" i="1"/>
  <c r="D409" i="1"/>
  <c r="E409" i="1"/>
  <c r="F409" i="1"/>
  <c r="G409" i="1"/>
  <c r="H409" i="1"/>
  <c r="I409" i="1"/>
  <c r="J409" i="1"/>
  <c r="K409" i="1"/>
  <c r="L409" i="1"/>
  <c r="M409" i="1"/>
  <c r="O409" i="1"/>
  <c r="P409" i="1"/>
  <c r="A410" i="1"/>
  <c r="B410" i="1"/>
  <c r="D410" i="1"/>
  <c r="E410" i="1"/>
  <c r="F410" i="1"/>
  <c r="G410" i="1"/>
  <c r="H410" i="1"/>
  <c r="I410" i="1"/>
  <c r="J410" i="1"/>
  <c r="K410" i="1"/>
  <c r="L410" i="1"/>
  <c r="M410" i="1"/>
  <c r="O410" i="1"/>
  <c r="P410" i="1"/>
  <c r="A411" i="1"/>
  <c r="B411" i="1"/>
  <c r="D411" i="1"/>
  <c r="E411" i="1"/>
  <c r="F411" i="1"/>
  <c r="G411" i="1"/>
  <c r="H411" i="1"/>
  <c r="I411" i="1"/>
  <c r="J411" i="1"/>
  <c r="K411" i="1"/>
  <c r="L411" i="1"/>
  <c r="M411" i="1"/>
  <c r="O411" i="1"/>
  <c r="P411" i="1"/>
  <c r="A412" i="1"/>
  <c r="B412" i="1"/>
  <c r="D412" i="1"/>
  <c r="E412" i="1"/>
  <c r="F412" i="1"/>
  <c r="G412" i="1"/>
  <c r="H412" i="1"/>
  <c r="I412" i="1"/>
  <c r="J412" i="1"/>
  <c r="K412" i="1"/>
  <c r="L412" i="1"/>
  <c r="M412" i="1"/>
  <c r="O412" i="1"/>
  <c r="P412" i="1"/>
  <c r="A413" i="1"/>
  <c r="B413" i="1"/>
  <c r="D413" i="1"/>
  <c r="E413" i="1"/>
  <c r="F413" i="1"/>
  <c r="G413" i="1"/>
  <c r="H413" i="1"/>
  <c r="I413" i="1"/>
  <c r="J413" i="1"/>
  <c r="K413" i="1"/>
  <c r="L413" i="1"/>
  <c r="M413" i="1"/>
  <c r="O413" i="1"/>
  <c r="P413" i="1"/>
  <c r="A414" i="1"/>
  <c r="B414" i="1"/>
  <c r="D414" i="1"/>
  <c r="E414" i="1"/>
  <c r="F414" i="1"/>
  <c r="G414" i="1"/>
  <c r="H414" i="1"/>
  <c r="I414" i="1"/>
  <c r="J414" i="1"/>
  <c r="K414" i="1"/>
  <c r="L414" i="1"/>
  <c r="M414" i="1"/>
  <c r="O414" i="1"/>
  <c r="P414" i="1"/>
  <c r="A415" i="1"/>
  <c r="B415" i="1"/>
  <c r="D415" i="1"/>
  <c r="E415" i="1"/>
  <c r="F415" i="1"/>
  <c r="G415" i="1"/>
  <c r="H415" i="1"/>
  <c r="I415" i="1"/>
  <c r="J415" i="1"/>
  <c r="K415" i="1"/>
  <c r="L415" i="1"/>
  <c r="M415" i="1"/>
  <c r="O415" i="1"/>
  <c r="P415" i="1"/>
  <c r="A416" i="1"/>
  <c r="B416" i="1"/>
  <c r="D416" i="1"/>
  <c r="E416" i="1"/>
  <c r="F416" i="1"/>
  <c r="G416" i="1"/>
  <c r="H416" i="1"/>
  <c r="I416" i="1"/>
  <c r="J416" i="1"/>
  <c r="K416" i="1"/>
  <c r="L416" i="1"/>
  <c r="M416" i="1"/>
  <c r="O416" i="1"/>
  <c r="P416" i="1"/>
  <c r="A417" i="1"/>
  <c r="B417" i="1"/>
  <c r="D417" i="1"/>
  <c r="E417" i="1"/>
  <c r="F417" i="1"/>
  <c r="G417" i="1"/>
  <c r="H417" i="1"/>
  <c r="I417" i="1"/>
  <c r="J417" i="1"/>
  <c r="K417" i="1"/>
  <c r="L417" i="1"/>
  <c r="M417" i="1"/>
  <c r="O417" i="1"/>
  <c r="P417" i="1"/>
  <c r="A418" i="1"/>
  <c r="B418" i="1"/>
  <c r="D418" i="1"/>
  <c r="E418" i="1"/>
  <c r="F418" i="1"/>
  <c r="G418" i="1"/>
  <c r="H418" i="1"/>
  <c r="I418" i="1"/>
  <c r="J418" i="1"/>
  <c r="K418" i="1"/>
  <c r="L418" i="1"/>
  <c r="M418" i="1"/>
  <c r="O418" i="1"/>
  <c r="P418" i="1"/>
  <c r="A419" i="1"/>
  <c r="B419" i="1"/>
  <c r="D419" i="1"/>
  <c r="E419" i="1"/>
  <c r="F419" i="1"/>
  <c r="G419" i="1"/>
  <c r="H419" i="1"/>
  <c r="I419" i="1"/>
  <c r="J419" i="1"/>
  <c r="K419" i="1"/>
  <c r="L419" i="1"/>
  <c r="M419" i="1"/>
  <c r="O419" i="1"/>
  <c r="P419" i="1"/>
  <c r="A420" i="1"/>
  <c r="B420" i="1"/>
  <c r="D420" i="1"/>
  <c r="E420" i="1"/>
  <c r="F420" i="1"/>
  <c r="G420" i="1"/>
  <c r="H420" i="1"/>
  <c r="I420" i="1"/>
  <c r="J420" i="1"/>
  <c r="K420" i="1"/>
  <c r="L420" i="1"/>
  <c r="M420" i="1"/>
  <c r="O420" i="1"/>
  <c r="P420" i="1"/>
  <c r="A421" i="1"/>
  <c r="B421" i="1"/>
  <c r="D421" i="1"/>
  <c r="E421" i="1"/>
  <c r="F421" i="1"/>
  <c r="G421" i="1"/>
  <c r="H421" i="1"/>
  <c r="I421" i="1"/>
  <c r="J421" i="1"/>
  <c r="K421" i="1"/>
  <c r="L421" i="1"/>
  <c r="M421" i="1"/>
  <c r="O421" i="1"/>
  <c r="P421" i="1"/>
  <c r="A422" i="1"/>
  <c r="B422" i="1"/>
  <c r="D422" i="1"/>
  <c r="E422" i="1"/>
  <c r="F422" i="1"/>
  <c r="G422" i="1"/>
  <c r="H422" i="1"/>
  <c r="I422" i="1"/>
  <c r="J422" i="1"/>
  <c r="K422" i="1"/>
  <c r="L422" i="1"/>
  <c r="M422" i="1"/>
  <c r="O422" i="1"/>
  <c r="P422" i="1"/>
  <c r="A423" i="1"/>
  <c r="B423" i="1"/>
  <c r="D423" i="1"/>
  <c r="E423" i="1"/>
  <c r="F423" i="1"/>
  <c r="G423" i="1"/>
  <c r="H423" i="1"/>
  <c r="I423" i="1"/>
  <c r="J423" i="1"/>
  <c r="K423" i="1"/>
  <c r="L423" i="1"/>
  <c r="M423" i="1"/>
  <c r="O423" i="1"/>
  <c r="P423" i="1"/>
  <c r="A424" i="1"/>
  <c r="B424" i="1"/>
  <c r="D424" i="1"/>
  <c r="E424" i="1"/>
  <c r="F424" i="1"/>
  <c r="G424" i="1"/>
  <c r="H424" i="1"/>
  <c r="I424" i="1"/>
  <c r="J424" i="1"/>
  <c r="K424" i="1"/>
  <c r="L424" i="1"/>
  <c r="M424" i="1"/>
  <c r="O424" i="1"/>
  <c r="P424" i="1"/>
  <c r="A425" i="1"/>
  <c r="B425" i="1"/>
  <c r="D425" i="1"/>
  <c r="E425" i="1"/>
  <c r="F425" i="1"/>
  <c r="G425" i="1"/>
  <c r="H425" i="1"/>
  <c r="I425" i="1"/>
  <c r="J425" i="1"/>
  <c r="K425" i="1"/>
  <c r="L425" i="1"/>
  <c r="M425" i="1"/>
  <c r="O425" i="1"/>
  <c r="P425" i="1"/>
  <c r="A426" i="1"/>
  <c r="B426" i="1"/>
  <c r="D426" i="1"/>
  <c r="E426" i="1"/>
  <c r="F426" i="1"/>
  <c r="G426" i="1"/>
  <c r="H426" i="1"/>
  <c r="I426" i="1"/>
  <c r="J426" i="1"/>
  <c r="K426" i="1"/>
  <c r="L426" i="1"/>
  <c r="M426" i="1"/>
  <c r="O426" i="1"/>
  <c r="P426" i="1"/>
  <c r="A427" i="1"/>
  <c r="B427" i="1"/>
  <c r="D427" i="1"/>
  <c r="E427" i="1"/>
  <c r="F427" i="1"/>
  <c r="G427" i="1"/>
  <c r="H427" i="1"/>
  <c r="I427" i="1"/>
  <c r="J427" i="1"/>
  <c r="K427" i="1"/>
  <c r="L427" i="1"/>
  <c r="M427" i="1"/>
  <c r="O427" i="1"/>
  <c r="P427" i="1"/>
  <c r="A428" i="1"/>
  <c r="B428" i="1"/>
  <c r="D428" i="1"/>
  <c r="E428" i="1"/>
  <c r="F428" i="1"/>
  <c r="G428" i="1"/>
  <c r="H428" i="1"/>
  <c r="I428" i="1"/>
  <c r="J428" i="1"/>
  <c r="K428" i="1"/>
  <c r="L428" i="1"/>
  <c r="M428" i="1"/>
  <c r="O428" i="1"/>
  <c r="P428" i="1"/>
  <c r="A429" i="1"/>
  <c r="B429" i="1"/>
  <c r="D429" i="1"/>
  <c r="E429" i="1"/>
  <c r="F429" i="1"/>
  <c r="G429" i="1"/>
  <c r="H429" i="1"/>
  <c r="I429" i="1"/>
  <c r="J429" i="1"/>
  <c r="K429" i="1"/>
  <c r="L429" i="1"/>
  <c r="M429" i="1"/>
  <c r="O429" i="1"/>
  <c r="P429" i="1"/>
  <c r="A430" i="1"/>
  <c r="B430" i="1"/>
  <c r="D430" i="1"/>
  <c r="E430" i="1"/>
  <c r="F430" i="1"/>
  <c r="G430" i="1"/>
  <c r="H430" i="1"/>
  <c r="I430" i="1"/>
  <c r="J430" i="1"/>
  <c r="K430" i="1"/>
  <c r="L430" i="1"/>
  <c r="M430" i="1"/>
  <c r="O430" i="1"/>
  <c r="P430" i="1"/>
  <c r="A431" i="1"/>
  <c r="B431" i="1"/>
  <c r="D431" i="1"/>
  <c r="E431" i="1"/>
  <c r="F431" i="1"/>
  <c r="G431" i="1"/>
  <c r="H431" i="1"/>
  <c r="I431" i="1"/>
  <c r="J431" i="1"/>
  <c r="K431" i="1"/>
  <c r="L431" i="1"/>
  <c r="M431" i="1"/>
  <c r="O431" i="1"/>
  <c r="P431" i="1"/>
  <c r="A432" i="1"/>
  <c r="B432" i="1"/>
  <c r="D432" i="1"/>
  <c r="E432" i="1"/>
  <c r="F432" i="1"/>
  <c r="G432" i="1"/>
  <c r="H432" i="1"/>
  <c r="I432" i="1"/>
  <c r="J432" i="1"/>
  <c r="K432" i="1"/>
  <c r="L432" i="1"/>
  <c r="M432" i="1"/>
  <c r="O432" i="1"/>
  <c r="P432" i="1"/>
  <c r="A433" i="1"/>
  <c r="B433" i="1"/>
  <c r="D433" i="1"/>
  <c r="E433" i="1"/>
  <c r="F433" i="1"/>
  <c r="G433" i="1"/>
  <c r="H433" i="1"/>
  <c r="I433" i="1"/>
  <c r="J433" i="1"/>
  <c r="K433" i="1"/>
  <c r="L433" i="1"/>
  <c r="M433" i="1"/>
  <c r="O433" i="1"/>
  <c r="P433" i="1"/>
  <c r="A434" i="1"/>
  <c r="B434" i="1"/>
  <c r="D434" i="1"/>
  <c r="E434" i="1"/>
  <c r="F434" i="1"/>
  <c r="G434" i="1"/>
  <c r="H434" i="1"/>
  <c r="I434" i="1"/>
  <c r="J434" i="1"/>
  <c r="K434" i="1"/>
  <c r="L434" i="1"/>
  <c r="M434" i="1"/>
  <c r="O434" i="1"/>
  <c r="P434" i="1"/>
  <c r="A435" i="1"/>
  <c r="B435" i="1"/>
  <c r="D435" i="1"/>
  <c r="E435" i="1"/>
  <c r="F435" i="1"/>
  <c r="G435" i="1"/>
  <c r="H435" i="1"/>
  <c r="I435" i="1"/>
  <c r="J435" i="1"/>
  <c r="K435" i="1"/>
  <c r="L435" i="1"/>
  <c r="M435" i="1"/>
  <c r="O435" i="1"/>
  <c r="P435" i="1"/>
  <c r="A436" i="1"/>
  <c r="B436" i="1"/>
  <c r="D436" i="1"/>
  <c r="E436" i="1"/>
  <c r="F436" i="1"/>
  <c r="G436" i="1"/>
  <c r="H436" i="1"/>
  <c r="I436" i="1"/>
  <c r="J436" i="1"/>
  <c r="K436" i="1"/>
  <c r="L436" i="1"/>
  <c r="M436" i="1"/>
  <c r="O436" i="1"/>
  <c r="P436" i="1"/>
  <c r="A437" i="1"/>
  <c r="B437" i="1"/>
  <c r="D437" i="1"/>
  <c r="E437" i="1"/>
  <c r="F437" i="1"/>
  <c r="G437" i="1"/>
  <c r="H437" i="1"/>
  <c r="I437" i="1"/>
  <c r="J437" i="1"/>
  <c r="K437" i="1"/>
  <c r="L437" i="1"/>
  <c r="M437" i="1"/>
  <c r="O437" i="1"/>
  <c r="P437" i="1"/>
  <c r="A438" i="1"/>
  <c r="B438" i="1"/>
  <c r="D438" i="1"/>
  <c r="E438" i="1"/>
  <c r="F438" i="1"/>
  <c r="G438" i="1"/>
  <c r="H438" i="1"/>
  <c r="I438" i="1"/>
  <c r="J438" i="1"/>
  <c r="K438" i="1"/>
  <c r="L438" i="1"/>
  <c r="M438" i="1"/>
  <c r="O438" i="1"/>
  <c r="P438" i="1"/>
  <c r="A439" i="1"/>
  <c r="B439" i="1"/>
  <c r="D439" i="1"/>
  <c r="E439" i="1"/>
  <c r="F439" i="1"/>
  <c r="G439" i="1"/>
  <c r="H439" i="1"/>
  <c r="I439" i="1"/>
  <c r="J439" i="1"/>
  <c r="K439" i="1"/>
  <c r="L439" i="1"/>
  <c r="M439" i="1"/>
  <c r="O439" i="1"/>
  <c r="P439" i="1"/>
  <c r="A440" i="1"/>
  <c r="B440" i="1"/>
  <c r="D440" i="1"/>
  <c r="E440" i="1"/>
  <c r="F440" i="1"/>
  <c r="G440" i="1"/>
  <c r="H440" i="1"/>
  <c r="I440" i="1"/>
  <c r="J440" i="1"/>
  <c r="K440" i="1"/>
  <c r="L440" i="1"/>
  <c r="M440" i="1"/>
  <c r="O440" i="1"/>
  <c r="P440" i="1"/>
  <c r="A441" i="1"/>
  <c r="B441" i="1"/>
  <c r="D441" i="1"/>
  <c r="E441" i="1"/>
  <c r="F441" i="1"/>
  <c r="G441" i="1"/>
  <c r="H441" i="1"/>
  <c r="I441" i="1"/>
  <c r="J441" i="1"/>
  <c r="K441" i="1"/>
  <c r="L441" i="1"/>
  <c r="M441" i="1"/>
  <c r="O441" i="1"/>
  <c r="P441" i="1"/>
  <c r="A442" i="1"/>
  <c r="B442" i="1"/>
  <c r="D442" i="1"/>
  <c r="E442" i="1"/>
  <c r="F442" i="1"/>
  <c r="G442" i="1"/>
  <c r="H442" i="1"/>
  <c r="I442" i="1"/>
  <c r="J442" i="1"/>
  <c r="K442" i="1"/>
  <c r="L442" i="1"/>
  <c r="M442" i="1"/>
  <c r="O442" i="1"/>
  <c r="P442" i="1"/>
  <c r="A443" i="1"/>
  <c r="B443" i="1"/>
  <c r="D443" i="1"/>
  <c r="E443" i="1"/>
  <c r="F443" i="1"/>
  <c r="G443" i="1"/>
  <c r="H443" i="1"/>
  <c r="I443" i="1"/>
  <c r="J443" i="1"/>
  <c r="K443" i="1"/>
  <c r="L443" i="1"/>
  <c r="M443" i="1"/>
  <c r="O443" i="1"/>
  <c r="P443" i="1"/>
  <c r="A444" i="1"/>
  <c r="B444" i="1"/>
  <c r="D444" i="1"/>
  <c r="E444" i="1"/>
  <c r="F444" i="1"/>
  <c r="G444" i="1"/>
  <c r="H444" i="1"/>
  <c r="I444" i="1"/>
  <c r="J444" i="1"/>
  <c r="K444" i="1"/>
  <c r="L444" i="1"/>
  <c r="M444" i="1"/>
  <c r="O444" i="1"/>
  <c r="P444" i="1"/>
  <c r="A445" i="1"/>
  <c r="B445" i="1"/>
  <c r="D445" i="1"/>
  <c r="E445" i="1"/>
  <c r="F445" i="1"/>
  <c r="G445" i="1"/>
  <c r="H445" i="1"/>
  <c r="I445" i="1"/>
  <c r="J445" i="1"/>
  <c r="K445" i="1"/>
  <c r="L445" i="1"/>
  <c r="M445" i="1"/>
  <c r="O445" i="1"/>
  <c r="P445" i="1"/>
  <c r="A446" i="1"/>
  <c r="B446" i="1"/>
  <c r="D446" i="1"/>
  <c r="E446" i="1"/>
  <c r="F446" i="1"/>
  <c r="G446" i="1"/>
  <c r="H446" i="1"/>
  <c r="I446" i="1"/>
  <c r="J446" i="1"/>
  <c r="K446" i="1"/>
  <c r="L446" i="1"/>
  <c r="M446" i="1"/>
  <c r="O446" i="1"/>
  <c r="P446" i="1"/>
  <c r="A447" i="1"/>
  <c r="B447" i="1"/>
  <c r="D447" i="1"/>
  <c r="E447" i="1"/>
  <c r="F447" i="1"/>
  <c r="G447" i="1"/>
  <c r="H447" i="1"/>
  <c r="I447" i="1"/>
  <c r="J447" i="1"/>
  <c r="K447" i="1"/>
  <c r="L447" i="1"/>
  <c r="M447" i="1"/>
  <c r="O447" i="1"/>
  <c r="P447" i="1"/>
  <c r="A448" i="1"/>
  <c r="B448" i="1"/>
  <c r="D448" i="1"/>
  <c r="E448" i="1"/>
  <c r="F448" i="1"/>
  <c r="G448" i="1"/>
  <c r="H448" i="1"/>
  <c r="I448" i="1"/>
  <c r="J448" i="1"/>
  <c r="K448" i="1"/>
  <c r="L448" i="1"/>
  <c r="M448" i="1"/>
  <c r="O448" i="1"/>
  <c r="P448" i="1"/>
  <c r="A449" i="1"/>
  <c r="B449" i="1"/>
  <c r="D449" i="1"/>
  <c r="E449" i="1"/>
  <c r="F449" i="1"/>
  <c r="G449" i="1"/>
  <c r="H449" i="1"/>
  <c r="I449" i="1"/>
  <c r="J449" i="1"/>
  <c r="K449" i="1"/>
  <c r="L449" i="1"/>
  <c r="M449" i="1"/>
  <c r="O449" i="1"/>
  <c r="P449" i="1"/>
  <c r="A450" i="1"/>
  <c r="B450" i="1"/>
  <c r="D450" i="1"/>
  <c r="E450" i="1"/>
  <c r="F450" i="1"/>
  <c r="G450" i="1"/>
  <c r="H450" i="1"/>
  <c r="I450" i="1"/>
  <c r="J450" i="1"/>
  <c r="K450" i="1"/>
  <c r="L450" i="1"/>
  <c r="M450" i="1"/>
  <c r="O450" i="1"/>
  <c r="P450" i="1"/>
  <c r="A451" i="1"/>
  <c r="B451" i="1"/>
  <c r="D451" i="1"/>
  <c r="E451" i="1"/>
  <c r="F451" i="1"/>
  <c r="G451" i="1"/>
  <c r="H451" i="1"/>
  <c r="I451" i="1"/>
  <c r="J451" i="1"/>
  <c r="K451" i="1"/>
  <c r="L451" i="1"/>
  <c r="M451" i="1"/>
  <c r="O451" i="1"/>
  <c r="P451" i="1"/>
  <c r="A452" i="1"/>
  <c r="B452" i="1"/>
  <c r="D452" i="1"/>
  <c r="E452" i="1"/>
  <c r="F452" i="1"/>
  <c r="G452" i="1"/>
  <c r="H452" i="1"/>
  <c r="I452" i="1"/>
  <c r="J452" i="1"/>
  <c r="K452" i="1"/>
  <c r="L452" i="1"/>
  <c r="M452" i="1"/>
  <c r="O452" i="1"/>
  <c r="P452" i="1"/>
  <c r="A453" i="1"/>
  <c r="B453" i="1"/>
  <c r="D453" i="1"/>
  <c r="E453" i="1"/>
  <c r="F453" i="1"/>
  <c r="G453" i="1"/>
  <c r="H453" i="1"/>
  <c r="I453" i="1"/>
  <c r="J453" i="1"/>
  <c r="K453" i="1"/>
  <c r="L453" i="1"/>
  <c r="M453" i="1"/>
  <c r="O453" i="1"/>
  <c r="P453" i="1"/>
  <c r="A454" i="1"/>
  <c r="B454" i="1"/>
  <c r="D454" i="1"/>
  <c r="E454" i="1"/>
  <c r="F454" i="1"/>
  <c r="G454" i="1"/>
  <c r="H454" i="1"/>
  <c r="I454" i="1"/>
  <c r="J454" i="1"/>
  <c r="K454" i="1"/>
  <c r="L454" i="1"/>
  <c r="M454" i="1"/>
  <c r="O454" i="1"/>
  <c r="P454" i="1"/>
  <c r="A455" i="1"/>
  <c r="B455" i="1"/>
  <c r="D455" i="1"/>
  <c r="E455" i="1"/>
  <c r="F455" i="1"/>
  <c r="G455" i="1"/>
  <c r="H455" i="1"/>
  <c r="I455" i="1"/>
  <c r="J455" i="1"/>
  <c r="K455" i="1"/>
  <c r="L455" i="1"/>
  <c r="M455" i="1"/>
  <c r="O455" i="1"/>
  <c r="P455" i="1"/>
  <c r="A456" i="1"/>
  <c r="B456" i="1"/>
  <c r="D456" i="1"/>
  <c r="E456" i="1"/>
  <c r="F456" i="1"/>
  <c r="G456" i="1"/>
  <c r="H456" i="1"/>
  <c r="I456" i="1"/>
  <c r="J456" i="1"/>
  <c r="K456" i="1"/>
  <c r="L456" i="1"/>
  <c r="M456" i="1"/>
  <c r="O456" i="1"/>
  <c r="P456" i="1"/>
  <c r="A457" i="1"/>
  <c r="B457" i="1"/>
  <c r="D457" i="1"/>
  <c r="E457" i="1"/>
  <c r="F457" i="1"/>
  <c r="G457" i="1"/>
  <c r="H457" i="1"/>
  <c r="I457" i="1"/>
  <c r="J457" i="1"/>
  <c r="K457" i="1"/>
  <c r="L457" i="1"/>
  <c r="M457" i="1"/>
  <c r="O457" i="1"/>
  <c r="P457" i="1"/>
  <c r="A458" i="1"/>
  <c r="B458" i="1"/>
  <c r="D458" i="1"/>
  <c r="E458" i="1"/>
  <c r="F458" i="1"/>
  <c r="G458" i="1"/>
  <c r="H458" i="1"/>
  <c r="I458" i="1"/>
  <c r="J458" i="1"/>
  <c r="K458" i="1"/>
  <c r="L458" i="1"/>
  <c r="M458" i="1"/>
  <c r="O458" i="1"/>
  <c r="P458" i="1"/>
  <c r="A459" i="1"/>
  <c r="B459" i="1"/>
  <c r="D459" i="1"/>
  <c r="E459" i="1"/>
  <c r="F459" i="1"/>
  <c r="G459" i="1"/>
  <c r="H459" i="1"/>
  <c r="I459" i="1"/>
  <c r="J459" i="1"/>
  <c r="K459" i="1"/>
  <c r="L459" i="1"/>
  <c r="M459" i="1"/>
  <c r="O459" i="1"/>
  <c r="P459" i="1"/>
  <c r="A460" i="1"/>
  <c r="B460" i="1"/>
  <c r="D460" i="1"/>
  <c r="E460" i="1"/>
  <c r="F460" i="1"/>
  <c r="G460" i="1"/>
  <c r="H460" i="1"/>
  <c r="I460" i="1"/>
  <c r="J460" i="1"/>
  <c r="K460" i="1"/>
  <c r="L460" i="1"/>
  <c r="M460" i="1"/>
  <c r="O460" i="1"/>
  <c r="P460" i="1"/>
  <c r="A461" i="1"/>
  <c r="B461" i="1"/>
  <c r="D461" i="1"/>
  <c r="E461" i="1"/>
  <c r="F461" i="1"/>
  <c r="G461" i="1"/>
  <c r="H461" i="1"/>
  <c r="I461" i="1"/>
  <c r="J461" i="1"/>
  <c r="K461" i="1"/>
  <c r="L461" i="1"/>
  <c r="M461" i="1"/>
  <c r="O461" i="1"/>
  <c r="P461" i="1"/>
  <c r="A462" i="1"/>
  <c r="B462" i="1"/>
  <c r="D462" i="1"/>
  <c r="E462" i="1"/>
  <c r="F462" i="1"/>
  <c r="G462" i="1"/>
  <c r="H462" i="1"/>
  <c r="I462" i="1"/>
  <c r="J462" i="1"/>
  <c r="K462" i="1"/>
  <c r="L462" i="1"/>
  <c r="M462" i="1"/>
  <c r="O462" i="1"/>
  <c r="P462" i="1"/>
  <c r="A463" i="1"/>
  <c r="B463" i="1"/>
  <c r="D463" i="1"/>
  <c r="E463" i="1"/>
  <c r="F463" i="1"/>
  <c r="G463" i="1"/>
  <c r="H463" i="1"/>
  <c r="I463" i="1"/>
  <c r="J463" i="1"/>
  <c r="K463" i="1"/>
  <c r="L463" i="1"/>
  <c r="M463" i="1"/>
  <c r="O463" i="1"/>
  <c r="P463" i="1"/>
  <c r="A464" i="1"/>
  <c r="B464" i="1"/>
  <c r="D464" i="1"/>
  <c r="E464" i="1"/>
  <c r="F464" i="1"/>
  <c r="G464" i="1"/>
  <c r="H464" i="1"/>
  <c r="I464" i="1"/>
  <c r="J464" i="1"/>
  <c r="K464" i="1"/>
  <c r="L464" i="1"/>
  <c r="M464" i="1"/>
  <c r="O464" i="1"/>
  <c r="P464" i="1"/>
  <c r="A465" i="1"/>
  <c r="B465" i="1"/>
  <c r="D465" i="1"/>
  <c r="E465" i="1"/>
  <c r="F465" i="1"/>
  <c r="G465" i="1"/>
  <c r="H465" i="1"/>
  <c r="I465" i="1"/>
  <c r="J465" i="1"/>
  <c r="K465" i="1"/>
  <c r="L465" i="1"/>
  <c r="M465" i="1"/>
  <c r="O465" i="1"/>
  <c r="P465" i="1"/>
  <c r="A466" i="1"/>
  <c r="B466" i="1"/>
  <c r="D466" i="1"/>
  <c r="E466" i="1"/>
  <c r="F466" i="1"/>
  <c r="G466" i="1"/>
  <c r="H466" i="1"/>
  <c r="I466" i="1"/>
  <c r="J466" i="1"/>
  <c r="K466" i="1"/>
  <c r="L466" i="1"/>
  <c r="M466" i="1"/>
  <c r="O466" i="1"/>
  <c r="P466" i="1"/>
  <c r="A467" i="1"/>
  <c r="B467" i="1"/>
  <c r="D467" i="1"/>
  <c r="E467" i="1"/>
  <c r="F467" i="1"/>
  <c r="G467" i="1"/>
  <c r="H467" i="1"/>
  <c r="I467" i="1"/>
  <c r="J467" i="1"/>
  <c r="K467" i="1"/>
  <c r="L467" i="1"/>
  <c r="M467" i="1"/>
  <c r="O467" i="1"/>
  <c r="P467" i="1"/>
  <c r="A468" i="1"/>
  <c r="B468" i="1"/>
  <c r="D468" i="1"/>
  <c r="E468" i="1"/>
  <c r="F468" i="1"/>
  <c r="G468" i="1"/>
  <c r="H468" i="1"/>
  <c r="I468" i="1"/>
  <c r="J468" i="1"/>
  <c r="K468" i="1"/>
  <c r="L468" i="1"/>
  <c r="M468" i="1"/>
  <c r="O468" i="1"/>
  <c r="P468" i="1"/>
  <c r="A469" i="1"/>
  <c r="B469" i="1"/>
  <c r="D469" i="1"/>
  <c r="E469" i="1"/>
  <c r="F469" i="1"/>
  <c r="G469" i="1"/>
  <c r="H469" i="1"/>
  <c r="I469" i="1"/>
  <c r="J469" i="1"/>
  <c r="K469" i="1"/>
  <c r="L469" i="1"/>
  <c r="M469" i="1"/>
  <c r="O469" i="1"/>
  <c r="P469" i="1"/>
  <c r="A470" i="1"/>
  <c r="B470" i="1"/>
  <c r="D470" i="1"/>
  <c r="E470" i="1"/>
  <c r="F470" i="1"/>
  <c r="G470" i="1"/>
  <c r="H470" i="1"/>
  <c r="I470" i="1"/>
  <c r="J470" i="1"/>
  <c r="K470" i="1"/>
  <c r="L470" i="1"/>
  <c r="M470" i="1"/>
  <c r="O470" i="1"/>
  <c r="P470" i="1"/>
  <c r="A471" i="1"/>
  <c r="B471" i="1"/>
  <c r="D471" i="1"/>
  <c r="E471" i="1"/>
  <c r="F471" i="1"/>
  <c r="G471" i="1"/>
  <c r="H471" i="1"/>
  <c r="I471" i="1"/>
  <c r="J471" i="1"/>
  <c r="K471" i="1"/>
  <c r="L471" i="1"/>
  <c r="M471" i="1"/>
  <c r="O471" i="1"/>
  <c r="P471" i="1"/>
  <c r="A472" i="1"/>
  <c r="B472" i="1"/>
  <c r="D472" i="1"/>
  <c r="E472" i="1"/>
  <c r="F472" i="1"/>
  <c r="G472" i="1"/>
  <c r="H472" i="1"/>
  <c r="I472" i="1"/>
  <c r="J472" i="1"/>
  <c r="K472" i="1"/>
  <c r="L472" i="1"/>
  <c r="M472" i="1"/>
  <c r="O472" i="1"/>
  <c r="P472" i="1"/>
  <c r="A473" i="1"/>
  <c r="B473" i="1"/>
  <c r="D473" i="1"/>
  <c r="E473" i="1"/>
  <c r="F473" i="1"/>
  <c r="G473" i="1"/>
  <c r="H473" i="1"/>
  <c r="I473" i="1"/>
  <c r="J473" i="1"/>
  <c r="K473" i="1"/>
  <c r="L473" i="1"/>
  <c r="M473" i="1"/>
  <c r="O473" i="1"/>
  <c r="P473" i="1"/>
  <c r="A474" i="1"/>
  <c r="B474" i="1"/>
  <c r="D474" i="1"/>
  <c r="E474" i="1"/>
  <c r="F474" i="1"/>
  <c r="G474" i="1"/>
  <c r="H474" i="1"/>
  <c r="I474" i="1"/>
  <c r="J474" i="1"/>
  <c r="K474" i="1"/>
  <c r="L474" i="1"/>
  <c r="M474" i="1"/>
  <c r="O474" i="1"/>
  <c r="P474" i="1"/>
  <c r="A475" i="1"/>
  <c r="B475" i="1"/>
  <c r="D475" i="1"/>
  <c r="E475" i="1"/>
  <c r="F475" i="1"/>
  <c r="G475" i="1"/>
  <c r="H475" i="1"/>
  <c r="I475" i="1"/>
  <c r="J475" i="1"/>
  <c r="K475" i="1"/>
  <c r="L475" i="1"/>
  <c r="M475" i="1"/>
  <c r="O475" i="1"/>
  <c r="P475" i="1"/>
  <c r="A476" i="1"/>
  <c r="B476" i="1"/>
  <c r="D476" i="1"/>
  <c r="E476" i="1"/>
  <c r="F476" i="1"/>
  <c r="G476" i="1"/>
  <c r="H476" i="1"/>
  <c r="I476" i="1"/>
  <c r="J476" i="1"/>
  <c r="K476" i="1"/>
  <c r="L476" i="1"/>
  <c r="M476" i="1"/>
  <c r="O476" i="1"/>
  <c r="P476" i="1"/>
  <c r="A477" i="1"/>
  <c r="B477" i="1"/>
  <c r="D477" i="1"/>
  <c r="E477" i="1"/>
  <c r="F477" i="1"/>
  <c r="G477" i="1"/>
  <c r="H477" i="1"/>
  <c r="I477" i="1"/>
  <c r="J477" i="1"/>
  <c r="K477" i="1"/>
  <c r="L477" i="1"/>
  <c r="M477" i="1"/>
  <c r="O477" i="1"/>
  <c r="P477" i="1"/>
  <c r="A478" i="1"/>
  <c r="B478" i="1"/>
  <c r="D478" i="1"/>
  <c r="E478" i="1"/>
  <c r="F478" i="1"/>
  <c r="G478" i="1"/>
  <c r="H478" i="1"/>
  <c r="I478" i="1"/>
  <c r="J478" i="1"/>
  <c r="K478" i="1"/>
  <c r="L478" i="1"/>
  <c r="M478" i="1"/>
  <c r="O478" i="1"/>
  <c r="P478" i="1"/>
  <c r="A479" i="1"/>
  <c r="B479" i="1"/>
  <c r="D479" i="1"/>
  <c r="E479" i="1"/>
  <c r="F479" i="1"/>
  <c r="G479" i="1"/>
  <c r="H479" i="1"/>
  <c r="I479" i="1"/>
  <c r="J479" i="1"/>
  <c r="K479" i="1"/>
  <c r="L479" i="1"/>
  <c r="M479" i="1"/>
  <c r="O479" i="1"/>
  <c r="P479" i="1"/>
  <c r="A480" i="1"/>
  <c r="B480" i="1"/>
  <c r="D480" i="1"/>
  <c r="E480" i="1"/>
  <c r="F480" i="1"/>
  <c r="G480" i="1"/>
  <c r="H480" i="1"/>
  <c r="I480" i="1"/>
  <c r="J480" i="1"/>
  <c r="K480" i="1"/>
  <c r="L480" i="1"/>
  <c r="M480" i="1"/>
  <c r="O480" i="1"/>
  <c r="P480" i="1"/>
  <c r="A481" i="1"/>
  <c r="B481" i="1"/>
  <c r="D481" i="1"/>
  <c r="E481" i="1"/>
  <c r="F481" i="1"/>
  <c r="G481" i="1"/>
  <c r="H481" i="1"/>
  <c r="I481" i="1"/>
  <c r="J481" i="1"/>
  <c r="K481" i="1"/>
  <c r="L481" i="1"/>
  <c r="M481" i="1"/>
  <c r="O481" i="1"/>
  <c r="P481" i="1"/>
  <c r="A482" i="1"/>
  <c r="B482" i="1"/>
  <c r="D482" i="1"/>
  <c r="E482" i="1"/>
  <c r="F482" i="1"/>
  <c r="G482" i="1"/>
  <c r="H482" i="1"/>
  <c r="I482" i="1"/>
  <c r="J482" i="1"/>
  <c r="K482" i="1"/>
  <c r="L482" i="1"/>
  <c r="M482" i="1"/>
  <c r="O482" i="1"/>
  <c r="P482" i="1"/>
  <c r="A483" i="1"/>
  <c r="B483" i="1"/>
  <c r="D483" i="1"/>
  <c r="E483" i="1"/>
  <c r="F483" i="1"/>
  <c r="G483" i="1"/>
  <c r="H483" i="1"/>
  <c r="I483" i="1"/>
  <c r="J483" i="1"/>
  <c r="K483" i="1"/>
  <c r="L483" i="1"/>
  <c r="M483" i="1"/>
  <c r="O483" i="1"/>
  <c r="P483" i="1"/>
  <c r="A484" i="1"/>
  <c r="B484" i="1"/>
  <c r="D484" i="1"/>
  <c r="E484" i="1"/>
  <c r="F484" i="1"/>
  <c r="G484" i="1"/>
  <c r="H484" i="1"/>
  <c r="I484" i="1"/>
  <c r="J484" i="1"/>
  <c r="K484" i="1"/>
  <c r="L484" i="1"/>
  <c r="M484" i="1"/>
  <c r="O484" i="1"/>
  <c r="P484" i="1"/>
  <c r="A485" i="1"/>
  <c r="B485" i="1"/>
  <c r="D485" i="1"/>
  <c r="E485" i="1"/>
  <c r="F485" i="1"/>
  <c r="G485" i="1"/>
  <c r="H485" i="1"/>
  <c r="I485" i="1"/>
  <c r="J485" i="1"/>
  <c r="K485" i="1"/>
  <c r="L485" i="1"/>
  <c r="M485" i="1"/>
  <c r="O485" i="1"/>
  <c r="P485" i="1"/>
  <c r="A486" i="1"/>
  <c r="B486" i="1"/>
  <c r="D486" i="1"/>
  <c r="E486" i="1"/>
  <c r="F486" i="1"/>
  <c r="G486" i="1"/>
  <c r="H486" i="1"/>
  <c r="I486" i="1"/>
  <c r="J486" i="1"/>
  <c r="K486" i="1"/>
  <c r="L486" i="1"/>
  <c r="M486" i="1"/>
  <c r="O486" i="1"/>
  <c r="P486" i="1"/>
  <c r="A487" i="1"/>
  <c r="B487" i="1"/>
  <c r="D487" i="1"/>
  <c r="E487" i="1"/>
  <c r="F487" i="1"/>
  <c r="G487" i="1"/>
  <c r="H487" i="1"/>
  <c r="I487" i="1"/>
  <c r="J487" i="1"/>
  <c r="K487" i="1"/>
  <c r="L487" i="1"/>
  <c r="M487" i="1"/>
  <c r="O487" i="1"/>
  <c r="P487" i="1"/>
  <c r="A488" i="1"/>
  <c r="B488" i="1"/>
  <c r="D488" i="1"/>
  <c r="E488" i="1"/>
  <c r="F488" i="1"/>
  <c r="G488" i="1"/>
  <c r="H488" i="1"/>
  <c r="I488" i="1"/>
  <c r="J488" i="1"/>
  <c r="K488" i="1"/>
  <c r="L488" i="1"/>
  <c r="M488" i="1"/>
  <c r="O488" i="1"/>
  <c r="P488" i="1"/>
  <c r="A489" i="1"/>
  <c r="B489" i="1"/>
  <c r="D489" i="1"/>
  <c r="E489" i="1"/>
  <c r="F489" i="1"/>
  <c r="G489" i="1"/>
  <c r="H489" i="1"/>
  <c r="I489" i="1"/>
  <c r="J489" i="1"/>
  <c r="K489" i="1"/>
  <c r="L489" i="1"/>
  <c r="M489" i="1"/>
  <c r="O489" i="1"/>
  <c r="P489" i="1"/>
  <c r="A490" i="1"/>
  <c r="B490" i="1"/>
  <c r="D490" i="1"/>
  <c r="E490" i="1"/>
  <c r="F490" i="1"/>
  <c r="G490" i="1"/>
  <c r="H490" i="1"/>
  <c r="I490" i="1"/>
  <c r="J490" i="1"/>
  <c r="K490" i="1"/>
  <c r="L490" i="1"/>
  <c r="M490" i="1"/>
  <c r="O490" i="1"/>
  <c r="P490" i="1"/>
  <c r="A491" i="1"/>
  <c r="B491" i="1"/>
  <c r="D491" i="1"/>
  <c r="E491" i="1"/>
  <c r="F491" i="1"/>
  <c r="G491" i="1"/>
  <c r="H491" i="1"/>
  <c r="I491" i="1"/>
  <c r="J491" i="1"/>
  <c r="K491" i="1"/>
  <c r="L491" i="1"/>
  <c r="M491" i="1"/>
  <c r="O491" i="1"/>
  <c r="P491" i="1"/>
  <c r="A492" i="1"/>
  <c r="B492" i="1"/>
  <c r="D492" i="1"/>
  <c r="E492" i="1"/>
  <c r="F492" i="1"/>
  <c r="G492" i="1"/>
  <c r="H492" i="1"/>
  <c r="I492" i="1"/>
  <c r="J492" i="1"/>
  <c r="K492" i="1"/>
  <c r="L492" i="1"/>
  <c r="M492" i="1"/>
  <c r="O492" i="1"/>
  <c r="P492" i="1"/>
  <c r="A493" i="1"/>
  <c r="B493" i="1"/>
  <c r="D493" i="1"/>
  <c r="E493" i="1"/>
  <c r="F493" i="1"/>
  <c r="G493" i="1"/>
  <c r="H493" i="1"/>
  <c r="I493" i="1"/>
  <c r="J493" i="1"/>
  <c r="K493" i="1"/>
  <c r="L493" i="1"/>
  <c r="M493" i="1"/>
  <c r="O493" i="1"/>
  <c r="P493" i="1"/>
  <c r="A494" i="1"/>
  <c r="B494" i="1"/>
  <c r="D494" i="1"/>
  <c r="E494" i="1"/>
  <c r="F494" i="1"/>
  <c r="G494" i="1"/>
  <c r="H494" i="1"/>
  <c r="I494" i="1"/>
  <c r="J494" i="1"/>
  <c r="K494" i="1"/>
  <c r="L494" i="1"/>
  <c r="M494" i="1"/>
  <c r="O494" i="1"/>
  <c r="P494" i="1"/>
  <c r="A495" i="1"/>
  <c r="B495" i="1"/>
  <c r="D495" i="1"/>
  <c r="E495" i="1"/>
  <c r="F495" i="1"/>
  <c r="G495" i="1"/>
  <c r="H495" i="1"/>
  <c r="I495" i="1"/>
  <c r="J495" i="1"/>
  <c r="K495" i="1"/>
  <c r="L495" i="1"/>
  <c r="M495" i="1"/>
  <c r="O495" i="1"/>
  <c r="P495" i="1"/>
  <c r="A496" i="1"/>
  <c r="B496" i="1"/>
  <c r="D496" i="1"/>
  <c r="E496" i="1"/>
  <c r="F496" i="1"/>
  <c r="G496" i="1"/>
  <c r="H496" i="1"/>
  <c r="I496" i="1"/>
  <c r="J496" i="1"/>
  <c r="K496" i="1"/>
  <c r="L496" i="1"/>
  <c r="M496" i="1"/>
  <c r="O496" i="1"/>
  <c r="P496" i="1"/>
  <c r="A497" i="1"/>
  <c r="B497" i="1"/>
  <c r="D497" i="1"/>
  <c r="E497" i="1"/>
  <c r="F497" i="1"/>
  <c r="G497" i="1"/>
  <c r="H497" i="1"/>
  <c r="I497" i="1"/>
  <c r="J497" i="1"/>
  <c r="K497" i="1"/>
  <c r="L497" i="1"/>
  <c r="M497" i="1"/>
  <c r="O497" i="1"/>
  <c r="P497" i="1"/>
  <c r="A498" i="1"/>
  <c r="B498" i="1"/>
  <c r="D498" i="1"/>
  <c r="E498" i="1"/>
  <c r="F498" i="1"/>
  <c r="G498" i="1"/>
  <c r="H498" i="1"/>
  <c r="I498" i="1"/>
  <c r="J498" i="1"/>
  <c r="K498" i="1"/>
  <c r="L498" i="1"/>
  <c r="M498" i="1"/>
  <c r="O498" i="1"/>
  <c r="P498" i="1"/>
  <c r="A499" i="1"/>
  <c r="B499" i="1"/>
  <c r="D499" i="1"/>
  <c r="E499" i="1"/>
  <c r="F499" i="1"/>
  <c r="G499" i="1"/>
  <c r="H499" i="1"/>
  <c r="I499" i="1"/>
  <c r="J499" i="1"/>
  <c r="K499" i="1"/>
  <c r="L499" i="1"/>
  <c r="M499" i="1"/>
  <c r="O499" i="1"/>
  <c r="P499" i="1"/>
  <c r="A500" i="1"/>
  <c r="B500" i="1"/>
  <c r="D500" i="1"/>
  <c r="E500" i="1"/>
  <c r="F500" i="1"/>
  <c r="G500" i="1"/>
  <c r="H500" i="1"/>
  <c r="I500" i="1"/>
  <c r="J500" i="1"/>
  <c r="K500" i="1"/>
  <c r="L500" i="1"/>
  <c r="M500" i="1"/>
  <c r="O500" i="1"/>
  <c r="P500" i="1"/>
  <c r="A501" i="1"/>
  <c r="B501" i="1"/>
  <c r="D501" i="1"/>
  <c r="E501" i="1"/>
  <c r="F501" i="1"/>
  <c r="G501" i="1"/>
  <c r="H501" i="1"/>
  <c r="I501" i="1"/>
  <c r="J501" i="1"/>
  <c r="K501" i="1"/>
  <c r="L501" i="1"/>
  <c r="M501" i="1"/>
  <c r="O501" i="1"/>
  <c r="P501" i="1"/>
  <c r="A502" i="1"/>
  <c r="B502" i="1"/>
  <c r="D502" i="1"/>
  <c r="E502" i="1"/>
  <c r="F502" i="1"/>
  <c r="G502" i="1"/>
  <c r="H502" i="1"/>
  <c r="I502" i="1"/>
  <c r="J502" i="1"/>
  <c r="K502" i="1"/>
  <c r="L502" i="1"/>
  <c r="M502" i="1"/>
  <c r="O502" i="1"/>
  <c r="P502" i="1"/>
  <c r="A503" i="1"/>
  <c r="B503" i="1"/>
  <c r="D503" i="1"/>
  <c r="E503" i="1"/>
  <c r="F503" i="1"/>
  <c r="G503" i="1"/>
  <c r="H503" i="1"/>
  <c r="I503" i="1"/>
  <c r="J503" i="1"/>
  <c r="K503" i="1"/>
  <c r="L503" i="1"/>
  <c r="M503" i="1"/>
  <c r="O503" i="1"/>
  <c r="P503" i="1"/>
  <c r="A504" i="1"/>
  <c r="B504" i="1"/>
  <c r="D504" i="1"/>
  <c r="E504" i="1"/>
  <c r="F504" i="1"/>
  <c r="G504" i="1"/>
  <c r="H504" i="1"/>
  <c r="I504" i="1"/>
  <c r="J504" i="1"/>
  <c r="K504" i="1"/>
  <c r="L504" i="1"/>
  <c r="M504" i="1"/>
  <c r="O504" i="1"/>
  <c r="P504" i="1"/>
  <c r="A505" i="1"/>
  <c r="B505" i="1"/>
  <c r="D505" i="1"/>
  <c r="E505" i="1"/>
  <c r="F505" i="1"/>
  <c r="G505" i="1"/>
  <c r="H505" i="1"/>
  <c r="I505" i="1"/>
  <c r="J505" i="1"/>
  <c r="K505" i="1"/>
  <c r="L505" i="1"/>
  <c r="M505" i="1"/>
  <c r="O505" i="1"/>
  <c r="P505" i="1"/>
  <c r="A506" i="1"/>
  <c r="B506" i="1"/>
  <c r="D506" i="1"/>
  <c r="E506" i="1"/>
  <c r="F506" i="1"/>
  <c r="G506" i="1"/>
  <c r="H506" i="1"/>
  <c r="I506" i="1"/>
  <c r="J506" i="1"/>
  <c r="K506" i="1"/>
  <c r="L506" i="1"/>
  <c r="M506" i="1"/>
  <c r="O506" i="1"/>
  <c r="P506" i="1"/>
  <c r="A507" i="1"/>
  <c r="B507" i="1"/>
  <c r="D507" i="1"/>
  <c r="E507" i="1"/>
  <c r="F507" i="1"/>
  <c r="G507" i="1"/>
  <c r="H507" i="1"/>
  <c r="I507" i="1"/>
  <c r="J507" i="1"/>
  <c r="K507" i="1"/>
  <c r="L507" i="1"/>
  <c r="M507" i="1"/>
  <c r="O507" i="1"/>
  <c r="P507" i="1"/>
  <c r="A508" i="1"/>
  <c r="B508" i="1"/>
  <c r="D508" i="1"/>
  <c r="E508" i="1"/>
  <c r="F508" i="1"/>
  <c r="G508" i="1"/>
  <c r="H508" i="1"/>
  <c r="I508" i="1"/>
  <c r="J508" i="1"/>
  <c r="K508" i="1"/>
  <c r="L508" i="1"/>
  <c r="M508" i="1"/>
  <c r="O508" i="1"/>
  <c r="P508" i="1"/>
  <c r="A509" i="1"/>
  <c r="B509" i="1"/>
  <c r="D509" i="1"/>
  <c r="E509" i="1"/>
  <c r="F509" i="1"/>
  <c r="G509" i="1"/>
  <c r="H509" i="1"/>
  <c r="I509" i="1"/>
  <c r="J509" i="1"/>
  <c r="K509" i="1"/>
  <c r="L509" i="1"/>
  <c r="M509" i="1"/>
  <c r="O509" i="1"/>
  <c r="P509" i="1"/>
  <c r="A510" i="1"/>
  <c r="B510" i="1"/>
  <c r="D510" i="1"/>
  <c r="E510" i="1"/>
  <c r="F510" i="1"/>
  <c r="G510" i="1"/>
  <c r="H510" i="1"/>
  <c r="I510" i="1"/>
  <c r="J510" i="1"/>
  <c r="K510" i="1"/>
  <c r="L510" i="1"/>
  <c r="M510" i="1"/>
  <c r="O510" i="1"/>
  <c r="P510" i="1"/>
  <c r="A511" i="1"/>
  <c r="B511" i="1"/>
  <c r="D511" i="1"/>
  <c r="E511" i="1"/>
  <c r="F511" i="1"/>
  <c r="G511" i="1"/>
  <c r="H511" i="1"/>
  <c r="I511" i="1"/>
  <c r="J511" i="1"/>
  <c r="K511" i="1"/>
  <c r="L511" i="1"/>
  <c r="M511" i="1"/>
  <c r="O511" i="1"/>
  <c r="P511" i="1"/>
  <c r="A512" i="1"/>
  <c r="B512" i="1"/>
  <c r="D512" i="1"/>
  <c r="E512" i="1"/>
  <c r="F512" i="1"/>
  <c r="G512" i="1"/>
  <c r="H512" i="1"/>
  <c r="I512" i="1"/>
  <c r="J512" i="1"/>
  <c r="K512" i="1"/>
  <c r="L512" i="1"/>
  <c r="M512" i="1"/>
  <c r="O512" i="1"/>
  <c r="P512" i="1"/>
  <c r="A513" i="1"/>
  <c r="B513" i="1"/>
  <c r="D513" i="1"/>
  <c r="E513" i="1"/>
  <c r="F513" i="1"/>
  <c r="G513" i="1"/>
  <c r="H513" i="1"/>
  <c r="I513" i="1"/>
  <c r="J513" i="1"/>
  <c r="K513" i="1"/>
  <c r="L513" i="1"/>
  <c r="M513" i="1"/>
  <c r="O513" i="1"/>
  <c r="P513" i="1"/>
  <c r="A514" i="1"/>
  <c r="B514" i="1"/>
  <c r="D514" i="1"/>
  <c r="E514" i="1"/>
  <c r="F514" i="1"/>
  <c r="G514" i="1"/>
  <c r="H514" i="1"/>
  <c r="I514" i="1"/>
  <c r="J514" i="1"/>
  <c r="K514" i="1"/>
  <c r="L514" i="1"/>
  <c r="M514" i="1"/>
  <c r="O514" i="1"/>
  <c r="P514" i="1"/>
  <c r="A515" i="1"/>
  <c r="B515" i="1"/>
  <c r="D515" i="1"/>
  <c r="E515" i="1"/>
  <c r="F515" i="1"/>
  <c r="G515" i="1"/>
  <c r="H515" i="1"/>
  <c r="I515" i="1"/>
  <c r="J515" i="1"/>
  <c r="K515" i="1"/>
  <c r="L515" i="1"/>
  <c r="M515" i="1"/>
  <c r="O515" i="1"/>
  <c r="P515" i="1"/>
  <c r="A516" i="1"/>
  <c r="B516" i="1"/>
  <c r="D516" i="1"/>
  <c r="E516" i="1"/>
  <c r="F516" i="1"/>
  <c r="G516" i="1"/>
  <c r="H516" i="1"/>
  <c r="I516" i="1"/>
  <c r="J516" i="1"/>
  <c r="K516" i="1"/>
  <c r="L516" i="1"/>
  <c r="M516" i="1"/>
  <c r="O516" i="1"/>
  <c r="P516" i="1"/>
  <c r="A517" i="1"/>
  <c r="B517" i="1"/>
  <c r="D517" i="1"/>
  <c r="E517" i="1"/>
  <c r="F517" i="1"/>
  <c r="G517" i="1"/>
  <c r="H517" i="1"/>
  <c r="I517" i="1"/>
  <c r="J517" i="1"/>
  <c r="K517" i="1"/>
  <c r="L517" i="1"/>
  <c r="M517" i="1"/>
  <c r="O517" i="1"/>
  <c r="P517" i="1"/>
  <c r="A518" i="1"/>
  <c r="B518" i="1"/>
  <c r="D518" i="1"/>
  <c r="E518" i="1"/>
  <c r="F518" i="1"/>
  <c r="G518" i="1"/>
  <c r="H518" i="1"/>
  <c r="I518" i="1"/>
  <c r="J518" i="1"/>
  <c r="K518" i="1"/>
  <c r="L518" i="1"/>
  <c r="M518" i="1"/>
  <c r="O518" i="1"/>
  <c r="P518" i="1"/>
  <c r="A519" i="1"/>
  <c r="B519" i="1"/>
  <c r="D519" i="1"/>
  <c r="E519" i="1"/>
  <c r="F519" i="1"/>
  <c r="G519" i="1"/>
  <c r="H519" i="1"/>
  <c r="I519" i="1"/>
  <c r="J519" i="1"/>
  <c r="K519" i="1"/>
  <c r="L519" i="1"/>
  <c r="M519" i="1"/>
  <c r="O519" i="1"/>
  <c r="P519" i="1"/>
  <c r="A520" i="1"/>
  <c r="B520" i="1"/>
  <c r="D520" i="1"/>
  <c r="E520" i="1"/>
  <c r="F520" i="1"/>
  <c r="G520" i="1"/>
  <c r="H520" i="1"/>
  <c r="I520" i="1"/>
  <c r="J520" i="1"/>
  <c r="K520" i="1"/>
  <c r="L520" i="1"/>
  <c r="M520" i="1"/>
  <c r="O520" i="1"/>
  <c r="P520" i="1"/>
  <c r="A521" i="1"/>
  <c r="B521" i="1"/>
  <c r="D521" i="1"/>
  <c r="E521" i="1"/>
  <c r="F521" i="1"/>
  <c r="G521" i="1"/>
  <c r="H521" i="1"/>
  <c r="I521" i="1"/>
  <c r="J521" i="1"/>
  <c r="K521" i="1"/>
  <c r="L521" i="1"/>
  <c r="M521" i="1"/>
  <c r="O521" i="1"/>
  <c r="P521" i="1"/>
  <c r="A522" i="1"/>
  <c r="B522" i="1"/>
  <c r="D522" i="1"/>
  <c r="E522" i="1"/>
  <c r="F522" i="1"/>
  <c r="G522" i="1"/>
  <c r="H522" i="1"/>
  <c r="I522" i="1"/>
  <c r="J522" i="1"/>
  <c r="K522" i="1"/>
  <c r="L522" i="1"/>
  <c r="M522" i="1"/>
  <c r="O522" i="1"/>
  <c r="P522" i="1"/>
  <c r="A523" i="1"/>
  <c r="B523" i="1"/>
  <c r="D523" i="1"/>
  <c r="E523" i="1"/>
  <c r="F523" i="1"/>
  <c r="G523" i="1"/>
  <c r="H523" i="1"/>
  <c r="I523" i="1"/>
  <c r="J523" i="1"/>
  <c r="K523" i="1"/>
  <c r="L523" i="1"/>
  <c r="M523" i="1"/>
  <c r="O523" i="1"/>
  <c r="P523" i="1"/>
  <c r="A524" i="1"/>
  <c r="B524" i="1"/>
  <c r="D524" i="1"/>
  <c r="E524" i="1"/>
  <c r="F524" i="1"/>
  <c r="G524" i="1"/>
  <c r="H524" i="1"/>
  <c r="I524" i="1"/>
  <c r="J524" i="1"/>
  <c r="K524" i="1"/>
  <c r="L524" i="1"/>
  <c r="M524" i="1"/>
  <c r="O524" i="1"/>
  <c r="P524" i="1"/>
  <c r="A525" i="1"/>
  <c r="B525" i="1"/>
  <c r="D525" i="1"/>
  <c r="E525" i="1"/>
  <c r="F525" i="1"/>
  <c r="G525" i="1"/>
  <c r="H525" i="1"/>
  <c r="I525" i="1"/>
  <c r="J525" i="1"/>
  <c r="K525" i="1"/>
  <c r="L525" i="1"/>
  <c r="M525" i="1"/>
  <c r="O525" i="1"/>
  <c r="P525" i="1"/>
  <c r="A526" i="1"/>
  <c r="B526" i="1"/>
  <c r="D526" i="1"/>
  <c r="E526" i="1"/>
  <c r="F526" i="1"/>
  <c r="G526" i="1"/>
  <c r="H526" i="1"/>
  <c r="I526" i="1"/>
  <c r="J526" i="1"/>
  <c r="K526" i="1"/>
  <c r="L526" i="1"/>
  <c r="M526" i="1"/>
  <c r="O526" i="1"/>
  <c r="P526" i="1"/>
  <c r="A527" i="1"/>
  <c r="B527" i="1"/>
  <c r="D527" i="1"/>
  <c r="E527" i="1"/>
  <c r="F527" i="1"/>
  <c r="G527" i="1"/>
  <c r="H527" i="1"/>
  <c r="I527" i="1"/>
  <c r="J527" i="1"/>
  <c r="K527" i="1"/>
  <c r="L527" i="1"/>
  <c r="M527" i="1"/>
  <c r="O527" i="1"/>
  <c r="P527" i="1"/>
  <c r="A528" i="1"/>
  <c r="B528" i="1"/>
  <c r="D528" i="1"/>
  <c r="E528" i="1"/>
  <c r="F528" i="1"/>
  <c r="G528" i="1"/>
  <c r="H528" i="1"/>
  <c r="I528" i="1"/>
  <c r="J528" i="1"/>
  <c r="K528" i="1"/>
  <c r="L528" i="1"/>
  <c r="M528" i="1"/>
  <c r="O528" i="1"/>
  <c r="P528" i="1"/>
  <c r="A529" i="1"/>
  <c r="B529" i="1"/>
  <c r="D529" i="1"/>
  <c r="E529" i="1"/>
  <c r="F529" i="1"/>
  <c r="G529" i="1"/>
  <c r="H529" i="1"/>
  <c r="I529" i="1"/>
  <c r="J529" i="1"/>
  <c r="K529" i="1"/>
  <c r="L529" i="1"/>
  <c r="M529" i="1"/>
  <c r="O529" i="1"/>
  <c r="P529" i="1"/>
  <c r="A530" i="1"/>
  <c r="B530" i="1"/>
  <c r="D530" i="1"/>
  <c r="E530" i="1"/>
  <c r="F530" i="1"/>
  <c r="G530" i="1"/>
  <c r="H530" i="1"/>
  <c r="I530" i="1"/>
  <c r="J530" i="1"/>
  <c r="K530" i="1"/>
  <c r="L530" i="1"/>
  <c r="M530" i="1"/>
  <c r="O530" i="1"/>
  <c r="P530" i="1"/>
  <c r="A531" i="1"/>
  <c r="B531" i="1"/>
  <c r="D531" i="1"/>
  <c r="E531" i="1"/>
  <c r="F531" i="1"/>
  <c r="G531" i="1"/>
  <c r="H531" i="1"/>
  <c r="I531" i="1"/>
  <c r="J531" i="1"/>
  <c r="K531" i="1"/>
  <c r="L531" i="1"/>
  <c r="M531" i="1"/>
  <c r="O531" i="1"/>
  <c r="P531" i="1"/>
  <c r="A532" i="1"/>
  <c r="B532" i="1"/>
  <c r="D532" i="1"/>
  <c r="E532" i="1"/>
  <c r="F532" i="1"/>
  <c r="G532" i="1"/>
  <c r="H532" i="1"/>
  <c r="I532" i="1"/>
  <c r="J532" i="1"/>
  <c r="K532" i="1"/>
  <c r="L532" i="1"/>
  <c r="M532" i="1"/>
  <c r="O532" i="1"/>
  <c r="P532" i="1"/>
  <c r="A533" i="1"/>
  <c r="B533" i="1"/>
  <c r="D533" i="1"/>
  <c r="E533" i="1"/>
  <c r="F533" i="1"/>
  <c r="G533" i="1"/>
  <c r="H533" i="1"/>
  <c r="I533" i="1"/>
  <c r="J533" i="1"/>
  <c r="K533" i="1"/>
  <c r="L533" i="1"/>
  <c r="M533" i="1"/>
  <c r="O533" i="1"/>
  <c r="P533" i="1"/>
  <c r="A534" i="1"/>
  <c r="B534" i="1"/>
  <c r="D534" i="1"/>
  <c r="E534" i="1"/>
  <c r="F534" i="1"/>
  <c r="G534" i="1"/>
  <c r="H534" i="1"/>
  <c r="I534" i="1"/>
  <c r="J534" i="1"/>
  <c r="K534" i="1"/>
  <c r="L534" i="1"/>
  <c r="M534" i="1"/>
  <c r="O534" i="1"/>
  <c r="P534" i="1"/>
  <c r="A535" i="1"/>
  <c r="B535" i="1"/>
  <c r="D535" i="1"/>
  <c r="E535" i="1"/>
  <c r="F535" i="1"/>
  <c r="G535" i="1"/>
  <c r="H535" i="1"/>
  <c r="I535" i="1"/>
  <c r="J535" i="1"/>
  <c r="K535" i="1"/>
  <c r="L535" i="1"/>
  <c r="M535" i="1"/>
  <c r="O535" i="1"/>
  <c r="P535" i="1"/>
  <c r="A536" i="1"/>
  <c r="B536" i="1"/>
  <c r="D536" i="1"/>
  <c r="E536" i="1"/>
  <c r="F536" i="1"/>
  <c r="G536" i="1"/>
  <c r="H536" i="1"/>
  <c r="I536" i="1"/>
  <c r="J536" i="1"/>
  <c r="K536" i="1"/>
  <c r="L536" i="1"/>
  <c r="M536" i="1"/>
  <c r="O536" i="1"/>
  <c r="P536" i="1"/>
  <c r="A537" i="1"/>
  <c r="B537" i="1"/>
  <c r="D537" i="1"/>
  <c r="E537" i="1"/>
  <c r="F537" i="1"/>
  <c r="G537" i="1"/>
  <c r="H537" i="1"/>
  <c r="I537" i="1"/>
  <c r="J537" i="1"/>
  <c r="K537" i="1"/>
  <c r="L537" i="1"/>
  <c r="M537" i="1"/>
  <c r="O537" i="1"/>
  <c r="P537" i="1"/>
  <c r="A538" i="1"/>
  <c r="B538" i="1"/>
  <c r="D538" i="1"/>
  <c r="E538" i="1"/>
  <c r="F538" i="1"/>
  <c r="G538" i="1"/>
  <c r="H538" i="1"/>
  <c r="I538" i="1"/>
  <c r="J538" i="1"/>
  <c r="K538" i="1"/>
  <c r="L538" i="1"/>
  <c r="M538" i="1"/>
  <c r="O538" i="1"/>
  <c r="P538" i="1"/>
  <c r="A539" i="1"/>
  <c r="B539" i="1"/>
  <c r="D539" i="1"/>
  <c r="E539" i="1"/>
  <c r="F539" i="1"/>
  <c r="G539" i="1"/>
  <c r="H539" i="1"/>
  <c r="I539" i="1"/>
  <c r="J539" i="1"/>
  <c r="K539" i="1"/>
  <c r="L539" i="1"/>
  <c r="M539" i="1"/>
  <c r="O539" i="1"/>
  <c r="P539" i="1"/>
  <c r="A540" i="1"/>
  <c r="B540" i="1"/>
  <c r="D540" i="1"/>
  <c r="E540" i="1"/>
  <c r="F540" i="1"/>
  <c r="G540" i="1"/>
  <c r="H540" i="1"/>
  <c r="I540" i="1"/>
  <c r="J540" i="1"/>
  <c r="K540" i="1"/>
  <c r="L540" i="1"/>
  <c r="M540" i="1"/>
  <c r="O540" i="1"/>
  <c r="P540" i="1"/>
  <c r="A541" i="1"/>
  <c r="B541" i="1"/>
  <c r="D541" i="1"/>
  <c r="E541" i="1"/>
  <c r="F541" i="1"/>
  <c r="G541" i="1"/>
  <c r="H541" i="1"/>
  <c r="I541" i="1"/>
  <c r="J541" i="1"/>
  <c r="K541" i="1"/>
  <c r="L541" i="1"/>
  <c r="M541" i="1"/>
  <c r="O541" i="1"/>
  <c r="P541" i="1"/>
  <c r="A542" i="1"/>
  <c r="B542" i="1"/>
  <c r="D542" i="1"/>
  <c r="E542" i="1"/>
  <c r="F542" i="1"/>
  <c r="G542" i="1"/>
  <c r="H542" i="1"/>
  <c r="I542" i="1"/>
  <c r="J542" i="1"/>
  <c r="K542" i="1"/>
  <c r="L542" i="1"/>
  <c r="M542" i="1"/>
  <c r="O542" i="1"/>
  <c r="P542" i="1"/>
  <c r="A543" i="1"/>
  <c r="B543" i="1"/>
  <c r="D543" i="1"/>
  <c r="E543" i="1"/>
  <c r="F543" i="1"/>
  <c r="G543" i="1"/>
  <c r="H543" i="1"/>
  <c r="I543" i="1"/>
  <c r="J543" i="1"/>
  <c r="K543" i="1"/>
  <c r="L543" i="1"/>
  <c r="M543" i="1"/>
  <c r="O543" i="1"/>
  <c r="P543" i="1"/>
  <c r="A544" i="1"/>
  <c r="B544" i="1"/>
  <c r="D544" i="1"/>
  <c r="E544" i="1"/>
  <c r="F544" i="1"/>
  <c r="G544" i="1"/>
  <c r="H544" i="1"/>
  <c r="I544" i="1"/>
  <c r="J544" i="1"/>
  <c r="K544" i="1"/>
  <c r="L544" i="1"/>
  <c r="M544" i="1"/>
  <c r="O544" i="1"/>
  <c r="P544" i="1"/>
  <c r="A545" i="1"/>
  <c r="B545" i="1"/>
  <c r="D545" i="1"/>
  <c r="E545" i="1"/>
  <c r="F545" i="1"/>
  <c r="G545" i="1"/>
  <c r="H545" i="1"/>
  <c r="I545" i="1"/>
  <c r="J545" i="1"/>
  <c r="K545" i="1"/>
  <c r="L545" i="1"/>
  <c r="M545" i="1"/>
  <c r="O545" i="1"/>
  <c r="P545" i="1"/>
  <c r="A546" i="1"/>
  <c r="B546" i="1"/>
  <c r="D546" i="1"/>
  <c r="E546" i="1"/>
  <c r="F546" i="1"/>
  <c r="G546" i="1"/>
  <c r="H546" i="1"/>
  <c r="I546" i="1"/>
  <c r="J546" i="1"/>
  <c r="K546" i="1"/>
  <c r="L546" i="1"/>
  <c r="M546" i="1"/>
  <c r="O546" i="1"/>
  <c r="P546" i="1"/>
  <c r="A547" i="1"/>
  <c r="B547" i="1"/>
  <c r="D547" i="1"/>
  <c r="E547" i="1"/>
  <c r="F547" i="1"/>
  <c r="G547" i="1"/>
  <c r="H547" i="1"/>
  <c r="I547" i="1"/>
  <c r="J547" i="1"/>
  <c r="K547" i="1"/>
  <c r="L547" i="1"/>
  <c r="M547" i="1"/>
  <c r="O547" i="1"/>
  <c r="P547" i="1"/>
  <c r="A548" i="1"/>
  <c r="B548" i="1"/>
  <c r="D548" i="1"/>
  <c r="E548" i="1"/>
  <c r="F548" i="1"/>
  <c r="G548" i="1"/>
  <c r="H548" i="1"/>
  <c r="I548" i="1"/>
  <c r="J548" i="1"/>
  <c r="K548" i="1"/>
  <c r="L548" i="1"/>
  <c r="M548" i="1"/>
  <c r="O548" i="1"/>
  <c r="P548" i="1"/>
  <c r="A549" i="1"/>
  <c r="B549" i="1"/>
  <c r="D549" i="1"/>
  <c r="E549" i="1"/>
  <c r="F549" i="1"/>
  <c r="G549" i="1"/>
  <c r="H549" i="1"/>
  <c r="I549" i="1"/>
  <c r="J549" i="1"/>
  <c r="K549" i="1"/>
  <c r="L549" i="1"/>
  <c r="M549" i="1"/>
  <c r="O549" i="1"/>
  <c r="P549" i="1"/>
  <c r="A550" i="1"/>
  <c r="B550" i="1"/>
  <c r="D550" i="1"/>
  <c r="E550" i="1"/>
  <c r="F550" i="1"/>
  <c r="G550" i="1"/>
  <c r="H550" i="1"/>
  <c r="I550" i="1"/>
  <c r="J550" i="1"/>
  <c r="K550" i="1"/>
  <c r="L550" i="1"/>
  <c r="M550" i="1"/>
  <c r="O550" i="1"/>
  <c r="P550" i="1"/>
  <c r="A551" i="1"/>
  <c r="B551" i="1"/>
  <c r="D551" i="1"/>
  <c r="E551" i="1"/>
  <c r="F551" i="1"/>
  <c r="G551" i="1"/>
  <c r="H551" i="1"/>
  <c r="I551" i="1"/>
  <c r="J551" i="1"/>
  <c r="K551" i="1"/>
  <c r="L551" i="1"/>
  <c r="M551" i="1"/>
  <c r="O551" i="1"/>
  <c r="P551" i="1"/>
  <c r="A552" i="1"/>
  <c r="B552" i="1"/>
  <c r="D552" i="1"/>
  <c r="E552" i="1"/>
  <c r="F552" i="1"/>
  <c r="G552" i="1"/>
  <c r="H552" i="1"/>
  <c r="I552" i="1"/>
  <c r="J552" i="1"/>
  <c r="K552" i="1"/>
  <c r="L552" i="1"/>
  <c r="M552" i="1"/>
  <c r="O552" i="1"/>
  <c r="P552" i="1"/>
  <c r="A553" i="1"/>
  <c r="B553" i="1"/>
  <c r="D553" i="1"/>
  <c r="E553" i="1"/>
  <c r="F553" i="1"/>
  <c r="G553" i="1"/>
  <c r="H553" i="1"/>
  <c r="I553" i="1"/>
  <c r="J553" i="1"/>
  <c r="K553" i="1"/>
  <c r="L553" i="1"/>
  <c r="M553" i="1"/>
  <c r="O553" i="1"/>
  <c r="P553" i="1"/>
  <c r="A554" i="1"/>
  <c r="B554" i="1"/>
  <c r="D554" i="1"/>
  <c r="E554" i="1"/>
  <c r="F554" i="1"/>
  <c r="G554" i="1"/>
  <c r="H554" i="1"/>
  <c r="I554" i="1"/>
  <c r="J554" i="1"/>
  <c r="K554" i="1"/>
  <c r="L554" i="1"/>
  <c r="M554" i="1"/>
  <c r="O554" i="1"/>
  <c r="P554" i="1"/>
  <c r="A555" i="1"/>
  <c r="B555" i="1"/>
  <c r="D555" i="1"/>
  <c r="E555" i="1"/>
  <c r="F555" i="1"/>
  <c r="G555" i="1"/>
  <c r="H555" i="1"/>
  <c r="I555" i="1"/>
  <c r="J555" i="1"/>
  <c r="K555" i="1"/>
  <c r="L555" i="1"/>
  <c r="M555" i="1"/>
  <c r="O555" i="1"/>
  <c r="P555" i="1"/>
  <c r="A556" i="1"/>
  <c r="B556" i="1"/>
  <c r="D556" i="1"/>
  <c r="E556" i="1"/>
  <c r="F556" i="1"/>
  <c r="G556" i="1"/>
  <c r="H556" i="1"/>
  <c r="I556" i="1"/>
  <c r="J556" i="1"/>
  <c r="K556" i="1"/>
  <c r="L556" i="1"/>
  <c r="M556" i="1"/>
  <c r="O556" i="1"/>
  <c r="P556" i="1"/>
  <c r="A557" i="1"/>
  <c r="B557" i="1"/>
  <c r="D557" i="1"/>
  <c r="E557" i="1"/>
  <c r="F557" i="1"/>
  <c r="G557" i="1"/>
  <c r="H557" i="1"/>
  <c r="I557" i="1"/>
  <c r="J557" i="1"/>
  <c r="K557" i="1"/>
  <c r="L557" i="1"/>
  <c r="M557" i="1"/>
  <c r="O557" i="1"/>
  <c r="P557" i="1"/>
  <c r="A558" i="1"/>
  <c r="B558" i="1"/>
  <c r="D558" i="1"/>
  <c r="E558" i="1"/>
  <c r="F558" i="1"/>
  <c r="G558" i="1"/>
  <c r="H558" i="1"/>
  <c r="I558" i="1"/>
  <c r="J558" i="1"/>
  <c r="K558" i="1"/>
  <c r="L558" i="1"/>
  <c r="M558" i="1"/>
  <c r="O558" i="1"/>
  <c r="P558" i="1"/>
  <c r="A559" i="1"/>
  <c r="B559" i="1"/>
  <c r="D559" i="1"/>
  <c r="E559" i="1"/>
  <c r="F559" i="1"/>
  <c r="G559" i="1"/>
  <c r="H559" i="1"/>
  <c r="I559" i="1"/>
  <c r="J559" i="1"/>
  <c r="K559" i="1"/>
  <c r="L559" i="1"/>
  <c r="M559" i="1"/>
  <c r="O559" i="1"/>
  <c r="P559" i="1"/>
  <c r="A560" i="1"/>
  <c r="B560" i="1"/>
  <c r="D560" i="1"/>
  <c r="E560" i="1"/>
  <c r="F560" i="1"/>
  <c r="G560" i="1"/>
  <c r="H560" i="1"/>
  <c r="I560" i="1"/>
  <c r="J560" i="1"/>
  <c r="K560" i="1"/>
  <c r="L560" i="1"/>
  <c r="M560" i="1"/>
  <c r="O560" i="1"/>
  <c r="P560" i="1"/>
  <c r="A561" i="1"/>
  <c r="B561" i="1"/>
  <c r="D561" i="1"/>
  <c r="E561" i="1"/>
  <c r="F561" i="1"/>
  <c r="G561" i="1"/>
  <c r="H561" i="1"/>
  <c r="I561" i="1"/>
  <c r="J561" i="1"/>
  <c r="K561" i="1"/>
  <c r="L561" i="1"/>
  <c r="M561" i="1"/>
  <c r="O561" i="1"/>
  <c r="P561" i="1"/>
  <c r="A562" i="1"/>
  <c r="B562" i="1"/>
  <c r="D562" i="1"/>
  <c r="E562" i="1"/>
  <c r="F562" i="1"/>
  <c r="G562" i="1"/>
  <c r="H562" i="1"/>
  <c r="I562" i="1"/>
  <c r="J562" i="1"/>
  <c r="K562" i="1"/>
  <c r="L562" i="1"/>
  <c r="M562" i="1"/>
  <c r="O562" i="1"/>
  <c r="P562" i="1"/>
  <c r="A563" i="1"/>
  <c r="B563" i="1"/>
  <c r="D563" i="1"/>
  <c r="E563" i="1"/>
  <c r="F563" i="1"/>
  <c r="G563" i="1"/>
  <c r="H563" i="1"/>
  <c r="I563" i="1"/>
  <c r="J563" i="1"/>
  <c r="K563" i="1"/>
  <c r="L563" i="1"/>
  <c r="M563" i="1"/>
  <c r="O563" i="1"/>
  <c r="P563" i="1"/>
  <c r="A564" i="1"/>
  <c r="B564" i="1"/>
  <c r="D564" i="1"/>
  <c r="E564" i="1"/>
  <c r="F564" i="1"/>
  <c r="G564" i="1"/>
  <c r="H564" i="1"/>
  <c r="I564" i="1"/>
  <c r="J564" i="1"/>
  <c r="K564" i="1"/>
  <c r="L564" i="1"/>
  <c r="M564" i="1"/>
  <c r="O564" i="1"/>
  <c r="P564" i="1"/>
  <c r="A565" i="1"/>
  <c r="B565" i="1"/>
  <c r="D565" i="1"/>
  <c r="E565" i="1"/>
  <c r="F565" i="1"/>
  <c r="G565" i="1"/>
  <c r="H565" i="1"/>
  <c r="I565" i="1"/>
  <c r="J565" i="1"/>
  <c r="K565" i="1"/>
  <c r="L565" i="1"/>
  <c r="M565" i="1"/>
  <c r="O565" i="1"/>
  <c r="P565" i="1"/>
  <c r="A566" i="1"/>
  <c r="B566" i="1"/>
  <c r="D566" i="1"/>
  <c r="E566" i="1"/>
  <c r="F566" i="1"/>
  <c r="G566" i="1"/>
  <c r="H566" i="1"/>
  <c r="I566" i="1"/>
  <c r="J566" i="1"/>
  <c r="K566" i="1"/>
  <c r="L566" i="1"/>
  <c r="M566" i="1"/>
  <c r="O566" i="1"/>
  <c r="P566" i="1"/>
  <c r="A567" i="1"/>
  <c r="B567" i="1"/>
  <c r="D567" i="1"/>
  <c r="E567" i="1"/>
  <c r="F567" i="1"/>
  <c r="G567" i="1"/>
  <c r="H567" i="1"/>
  <c r="I567" i="1"/>
  <c r="J567" i="1"/>
  <c r="K567" i="1"/>
  <c r="L567" i="1"/>
  <c r="M567" i="1"/>
  <c r="O567" i="1"/>
  <c r="P567" i="1"/>
  <c r="A568" i="1"/>
  <c r="B568" i="1"/>
  <c r="D568" i="1"/>
  <c r="E568" i="1"/>
  <c r="F568" i="1"/>
  <c r="G568" i="1"/>
  <c r="H568" i="1"/>
  <c r="I568" i="1"/>
  <c r="J568" i="1"/>
  <c r="K568" i="1"/>
  <c r="L568" i="1"/>
  <c r="M568" i="1"/>
  <c r="O568" i="1"/>
  <c r="P568" i="1"/>
  <c r="A569" i="1"/>
  <c r="B569" i="1"/>
  <c r="D569" i="1"/>
  <c r="E569" i="1"/>
  <c r="F569" i="1"/>
  <c r="G569" i="1"/>
  <c r="H569" i="1"/>
  <c r="I569" i="1"/>
  <c r="J569" i="1"/>
  <c r="K569" i="1"/>
  <c r="L569" i="1"/>
  <c r="M569" i="1"/>
  <c r="O569" i="1"/>
  <c r="P569" i="1"/>
  <c r="A570" i="1"/>
  <c r="B570" i="1"/>
  <c r="D570" i="1"/>
  <c r="E570" i="1"/>
  <c r="F570" i="1"/>
  <c r="G570" i="1"/>
  <c r="H570" i="1"/>
  <c r="I570" i="1"/>
  <c r="J570" i="1"/>
  <c r="K570" i="1"/>
  <c r="L570" i="1"/>
  <c r="M570" i="1"/>
  <c r="O570" i="1"/>
  <c r="P570" i="1"/>
  <c r="A571" i="1"/>
  <c r="B571" i="1"/>
  <c r="D571" i="1"/>
  <c r="E571" i="1"/>
  <c r="F571" i="1"/>
  <c r="G571" i="1"/>
  <c r="H571" i="1"/>
  <c r="I571" i="1"/>
  <c r="J571" i="1"/>
  <c r="K571" i="1"/>
  <c r="L571" i="1"/>
  <c r="M571" i="1"/>
  <c r="O571" i="1"/>
  <c r="P571" i="1"/>
  <c r="A572" i="1"/>
  <c r="B572" i="1"/>
  <c r="D572" i="1"/>
  <c r="E572" i="1"/>
  <c r="F572" i="1"/>
  <c r="G572" i="1"/>
  <c r="H572" i="1"/>
  <c r="I572" i="1"/>
  <c r="J572" i="1"/>
  <c r="K572" i="1"/>
  <c r="L572" i="1"/>
  <c r="M572" i="1"/>
  <c r="O572" i="1"/>
  <c r="P572" i="1"/>
  <c r="A573" i="1"/>
  <c r="B573" i="1"/>
  <c r="D573" i="1"/>
  <c r="E573" i="1"/>
  <c r="F573" i="1"/>
  <c r="G573" i="1"/>
  <c r="H573" i="1"/>
  <c r="I573" i="1"/>
  <c r="J573" i="1"/>
  <c r="K573" i="1"/>
  <c r="L573" i="1"/>
  <c r="M573" i="1"/>
  <c r="O573" i="1"/>
  <c r="P573" i="1"/>
  <c r="A574" i="1"/>
  <c r="B574" i="1"/>
  <c r="D574" i="1"/>
  <c r="E574" i="1"/>
  <c r="F574" i="1"/>
  <c r="G574" i="1"/>
  <c r="H574" i="1"/>
  <c r="I574" i="1"/>
  <c r="J574" i="1"/>
  <c r="K574" i="1"/>
  <c r="L574" i="1"/>
  <c r="M574" i="1"/>
  <c r="O574" i="1"/>
  <c r="P574" i="1"/>
  <c r="A575" i="1"/>
  <c r="B575" i="1"/>
  <c r="D575" i="1"/>
  <c r="E575" i="1"/>
  <c r="F575" i="1"/>
  <c r="G575" i="1"/>
  <c r="H575" i="1"/>
  <c r="I575" i="1"/>
  <c r="J575" i="1"/>
  <c r="K575" i="1"/>
  <c r="L575" i="1"/>
  <c r="M575" i="1"/>
  <c r="O575" i="1"/>
  <c r="P575" i="1"/>
  <c r="A576" i="1"/>
  <c r="B576" i="1"/>
  <c r="D576" i="1"/>
  <c r="E576" i="1"/>
  <c r="F576" i="1"/>
  <c r="G576" i="1"/>
  <c r="H576" i="1"/>
  <c r="I576" i="1"/>
  <c r="J576" i="1"/>
  <c r="K576" i="1"/>
  <c r="L576" i="1"/>
  <c r="M576" i="1"/>
  <c r="O576" i="1"/>
  <c r="P576" i="1"/>
  <c r="A577" i="1"/>
  <c r="B577" i="1"/>
  <c r="D577" i="1"/>
  <c r="E577" i="1"/>
  <c r="F577" i="1"/>
  <c r="G577" i="1"/>
  <c r="H577" i="1"/>
  <c r="I577" i="1"/>
  <c r="J577" i="1"/>
  <c r="K577" i="1"/>
  <c r="L577" i="1"/>
  <c r="M577" i="1"/>
  <c r="O577" i="1"/>
  <c r="P577" i="1"/>
  <c r="A578" i="1"/>
  <c r="B578" i="1"/>
  <c r="D578" i="1"/>
  <c r="E578" i="1"/>
  <c r="F578" i="1"/>
  <c r="G578" i="1"/>
  <c r="H578" i="1"/>
  <c r="I578" i="1"/>
  <c r="J578" i="1"/>
  <c r="K578" i="1"/>
  <c r="L578" i="1"/>
  <c r="M578" i="1"/>
  <c r="O578" i="1"/>
  <c r="P578" i="1"/>
  <c r="A579" i="1"/>
  <c r="B579" i="1"/>
  <c r="D579" i="1"/>
  <c r="E579" i="1"/>
  <c r="F579" i="1"/>
  <c r="G579" i="1"/>
  <c r="H579" i="1"/>
  <c r="I579" i="1"/>
  <c r="J579" i="1"/>
  <c r="K579" i="1"/>
  <c r="L579" i="1"/>
  <c r="M579" i="1"/>
  <c r="O579" i="1"/>
  <c r="P579" i="1"/>
  <c r="A580" i="1"/>
  <c r="B580" i="1"/>
  <c r="D580" i="1"/>
  <c r="E580" i="1"/>
  <c r="F580" i="1"/>
  <c r="G580" i="1"/>
  <c r="H580" i="1"/>
  <c r="I580" i="1"/>
  <c r="J580" i="1"/>
  <c r="K580" i="1"/>
  <c r="L580" i="1"/>
  <c r="M580" i="1"/>
  <c r="O580" i="1"/>
  <c r="P580" i="1"/>
  <c r="A581" i="1"/>
  <c r="B581" i="1"/>
  <c r="D581" i="1"/>
  <c r="E581" i="1"/>
  <c r="F581" i="1"/>
  <c r="G581" i="1"/>
  <c r="H581" i="1"/>
  <c r="I581" i="1"/>
  <c r="J581" i="1"/>
  <c r="K581" i="1"/>
  <c r="L581" i="1"/>
  <c r="M581" i="1"/>
  <c r="O581" i="1"/>
  <c r="P581" i="1"/>
  <c r="A582" i="1"/>
  <c r="B582" i="1"/>
  <c r="D582" i="1"/>
  <c r="E582" i="1"/>
  <c r="F582" i="1"/>
  <c r="G582" i="1"/>
  <c r="H582" i="1"/>
  <c r="I582" i="1"/>
  <c r="J582" i="1"/>
  <c r="K582" i="1"/>
  <c r="L582" i="1"/>
  <c r="M582" i="1"/>
  <c r="O582" i="1"/>
  <c r="P582" i="1"/>
  <c r="A583" i="1"/>
  <c r="B583" i="1"/>
  <c r="D583" i="1"/>
  <c r="E583" i="1"/>
  <c r="F583" i="1"/>
  <c r="G583" i="1"/>
  <c r="H583" i="1"/>
  <c r="I583" i="1"/>
  <c r="J583" i="1"/>
  <c r="K583" i="1"/>
  <c r="L583" i="1"/>
  <c r="M583" i="1"/>
  <c r="O583" i="1"/>
  <c r="P583" i="1"/>
  <c r="A584" i="1"/>
  <c r="B584" i="1"/>
  <c r="D584" i="1"/>
  <c r="E584" i="1"/>
  <c r="F584" i="1"/>
  <c r="G584" i="1"/>
  <c r="H584" i="1"/>
  <c r="I584" i="1"/>
  <c r="J584" i="1"/>
  <c r="K584" i="1"/>
  <c r="L584" i="1"/>
  <c r="M584" i="1"/>
  <c r="O584" i="1"/>
  <c r="P584" i="1"/>
  <c r="A585" i="1"/>
  <c r="B585" i="1"/>
  <c r="D585" i="1"/>
  <c r="E585" i="1"/>
  <c r="F585" i="1"/>
  <c r="G585" i="1"/>
  <c r="H585" i="1"/>
  <c r="I585" i="1"/>
  <c r="J585" i="1"/>
  <c r="K585" i="1"/>
  <c r="L585" i="1"/>
  <c r="M585" i="1"/>
  <c r="O585" i="1"/>
  <c r="P585" i="1"/>
  <c r="A586" i="1"/>
  <c r="B586" i="1"/>
  <c r="D586" i="1"/>
  <c r="E586" i="1"/>
  <c r="F586" i="1"/>
  <c r="G586" i="1"/>
  <c r="H586" i="1"/>
  <c r="I586" i="1"/>
  <c r="J586" i="1"/>
  <c r="K586" i="1"/>
  <c r="L586" i="1"/>
  <c r="M586" i="1"/>
  <c r="O586" i="1"/>
  <c r="P586" i="1"/>
  <c r="A587" i="1"/>
  <c r="B587" i="1"/>
  <c r="D587" i="1"/>
  <c r="E587" i="1"/>
  <c r="F587" i="1"/>
  <c r="G587" i="1"/>
  <c r="H587" i="1"/>
  <c r="I587" i="1"/>
  <c r="J587" i="1"/>
  <c r="K587" i="1"/>
  <c r="L587" i="1"/>
  <c r="M587" i="1"/>
  <c r="O587" i="1"/>
  <c r="P587" i="1"/>
  <c r="A588" i="1"/>
  <c r="B588" i="1"/>
  <c r="D588" i="1"/>
  <c r="E588" i="1"/>
  <c r="F588" i="1"/>
  <c r="G588" i="1"/>
  <c r="H588" i="1"/>
  <c r="I588" i="1"/>
  <c r="J588" i="1"/>
  <c r="K588" i="1"/>
  <c r="L588" i="1"/>
  <c r="M588" i="1"/>
  <c r="O588" i="1"/>
  <c r="P588" i="1"/>
  <c r="A589" i="1"/>
  <c r="B589" i="1"/>
  <c r="D589" i="1"/>
  <c r="E589" i="1"/>
  <c r="F589" i="1"/>
  <c r="G589" i="1"/>
  <c r="H589" i="1"/>
  <c r="I589" i="1"/>
  <c r="J589" i="1"/>
  <c r="K589" i="1"/>
  <c r="L589" i="1"/>
  <c r="M589" i="1"/>
  <c r="O589" i="1"/>
  <c r="P589" i="1"/>
  <c r="A590" i="1"/>
  <c r="B590" i="1"/>
  <c r="D590" i="1"/>
  <c r="E590" i="1"/>
  <c r="F590" i="1"/>
  <c r="G590" i="1"/>
  <c r="H590" i="1"/>
  <c r="I590" i="1"/>
  <c r="J590" i="1"/>
  <c r="K590" i="1"/>
  <c r="L590" i="1"/>
  <c r="M590" i="1"/>
  <c r="O590" i="1"/>
  <c r="P590" i="1"/>
  <c r="A591" i="1"/>
  <c r="B591" i="1"/>
  <c r="D591" i="1"/>
  <c r="E591" i="1"/>
  <c r="F591" i="1"/>
  <c r="G591" i="1"/>
  <c r="H591" i="1"/>
  <c r="I591" i="1"/>
  <c r="J591" i="1"/>
  <c r="K591" i="1"/>
  <c r="L591" i="1"/>
  <c r="M591" i="1"/>
  <c r="O591" i="1"/>
  <c r="P591" i="1"/>
  <c r="A592" i="1"/>
  <c r="B592" i="1"/>
  <c r="D592" i="1"/>
  <c r="E592" i="1"/>
  <c r="F592" i="1"/>
  <c r="G592" i="1"/>
  <c r="H592" i="1"/>
  <c r="I592" i="1"/>
  <c r="J592" i="1"/>
  <c r="K592" i="1"/>
  <c r="L592" i="1"/>
  <c r="M592" i="1"/>
  <c r="O592" i="1"/>
  <c r="P592" i="1"/>
  <c r="A593" i="1"/>
  <c r="B593" i="1"/>
  <c r="D593" i="1"/>
  <c r="E593" i="1"/>
  <c r="F593" i="1"/>
  <c r="G593" i="1"/>
  <c r="H593" i="1"/>
  <c r="I593" i="1"/>
  <c r="J593" i="1"/>
  <c r="K593" i="1"/>
  <c r="L593" i="1"/>
  <c r="M593" i="1"/>
  <c r="O593" i="1"/>
  <c r="P593" i="1"/>
  <c r="A594" i="1"/>
  <c r="B594" i="1"/>
  <c r="D594" i="1"/>
  <c r="E594" i="1"/>
  <c r="F594" i="1"/>
  <c r="G594" i="1"/>
  <c r="H594" i="1"/>
  <c r="I594" i="1"/>
  <c r="J594" i="1"/>
  <c r="K594" i="1"/>
  <c r="L594" i="1"/>
  <c r="M594" i="1"/>
  <c r="O594" i="1"/>
  <c r="P594" i="1"/>
  <c r="A595" i="1"/>
  <c r="B595" i="1"/>
  <c r="D595" i="1"/>
  <c r="E595" i="1"/>
  <c r="F595" i="1"/>
  <c r="G595" i="1"/>
  <c r="H595" i="1"/>
  <c r="I595" i="1"/>
  <c r="J595" i="1"/>
  <c r="K595" i="1"/>
  <c r="L595" i="1"/>
  <c r="M595" i="1"/>
  <c r="O595" i="1"/>
  <c r="P595" i="1"/>
  <c r="A596" i="1"/>
  <c r="B596" i="1"/>
  <c r="D596" i="1"/>
  <c r="E596" i="1"/>
  <c r="F596" i="1"/>
  <c r="G596" i="1"/>
  <c r="H596" i="1"/>
  <c r="I596" i="1"/>
  <c r="J596" i="1"/>
  <c r="K596" i="1"/>
  <c r="L596" i="1"/>
  <c r="M596" i="1"/>
  <c r="O596" i="1"/>
  <c r="P596" i="1"/>
  <c r="A597" i="1"/>
  <c r="B597" i="1"/>
  <c r="D597" i="1"/>
  <c r="E597" i="1"/>
  <c r="F597" i="1"/>
  <c r="G597" i="1"/>
  <c r="H597" i="1"/>
  <c r="I597" i="1"/>
  <c r="J597" i="1"/>
  <c r="K597" i="1"/>
  <c r="L597" i="1"/>
  <c r="M597" i="1"/>
  <c r="O597" i="1"/>
  <c r="P597" i="1"/>
  <c r="A598" i="1"/>
  <c r="B598" i="1"/>
  <c r="D598" i="1"/>
  <c r="E598" i="1"/>
  <c r="F598" i="1"/>
  <c r="G598" i="1"/>
  <c r="H598" i="1"/>
  <c r="I598" i="1"/>
  <c r="J598" i="1"/>
  <c r="K598" i="1"/>
  <c r="L598" i="1"/>
  <c r="M598" i="1"/>
  <c r="O598" i="1"/>
  <c r="P598" i="1"/>
  <c r="A599" i="1"/>
  <c r="B599" i="1"/>
  <c r="D599" i="1"/>
  <c r="E599" i="1"/>
  <c r="F599" i="1"/>
  <c r="G599" i="1"/>
  <c r="H599" i="1"/>
  <c r="I599" i="1"/>
  <c r="J599" i="1"/>
  <c r="K599" i="1"/>
  <c r="L599" i="1"/>
  <c r="M599" i="1"/>
  <c r="O599" i="1"/>
  <c r="P599" i="1"/>
  <c r="A600" i="1"/>
  <c r="B600" i="1"/>
  <c r="D600" i="1"/>
  <c r="E600" i="1"/>
  <c r="F600" i="1"/>
  <c r="G600" i="1"/>
  <c r="H600" i="1"/>
  <c r="I600" i="1"/>
  <c r="J600" i="1"/>
  <c r="K600" i="1"/>
  <c r="L600" i="1"/>
  <c r="M600" i="1"/>
  <c r="O600" i="1"/>
  <c r="P600" i="1"/>
  <c r="A601" i="1"/>
  <c r="B601" i="1"/>
  <c r="D601" i="1"/>
  <c r="E601" i="1"/>
  <c r="F601" i="1"/>
  <c r="G601" i="1"/>
  <c r="H601" i="1"/>
  <c r="I601" i="1"/>
  <c r="J601" i="1"/>
  <c r="K601" i="1"/>
  <c r="L601" i="1"/>
  <c r="M601" i="1"/>
  <c r="O601" i="1"/>
  <c r="P601" i="1"/>
  <c r="A602" i="1"/>
  <c r="B602" i="1"/>
  <c r="D602" i="1"/>
  <c r="E602" i="1"/>
  <c r="F602" i="1"/>
  <c r="G602" i="1"/>
  <c r="H602" i="1"/>
  <c r="I602" i="1"/>
  <c r="J602" i="1"/>
  <c r="K602" i="1"/>
  <c r="L602" i="1"/>
  <c r="M602" i="1"/>
  <c r="O602" i="1"/>
  <c r="P602" i="1"/>
  <c r="A603" i="1"/>
  <c r="B603" i="1"/>
  <c r="D603" i="1"/>
  <c r="E603" i="1"/>
  <c r="F603" i="1"/>
  <c r="G603" i="1"/>
  <c r="H603" i="1"/>
  <c r="I603" i="1"/>
  <c r="J603" i="1"/>
  <c r="K603" i="1"/>
  <c r="L603" i="1"/>
  <c r="M603" i="1"/>
  <c r="O603" i="1"/>
  <c r="P603" i="1"/>
  <c r="A604" i="1"/>
  <c r="B604" i="1"/>
  <c r="D604" i="1"/>
  <c r="E604" i="1"/>
  <c r="F604" i="1"/>
  <c r="G604" i="1"/>
  <c r="H604" i="1"/>
  <c r="I604" i="1"/>
  <c r="J604" i="1"/>
  <c r="K604" i="1"/>
  <c r="L604" i="1"/>
  <c r="M604" i="1"/>
  <c r="O604" i="1"/>
  <c r="P604" i="1"/>
  <c r="A605" i="1"/>
  <c r="B605" i="1"/>
  <c r="D605" i="1"/>
  <c r="E605" i="1"/>
  <c r="F605" i="1"/>
  <c r="G605" i="1"/>
  <c r="H605" i="1"/>
  <c r="I605" i="1"/>
  <c r="J605" i="1"/>
  <c r="K605" i="1"/>
  <c r="L605" i="1"/>
  <c r="M605" i="1"/>
  <c r="O605" i="1"/>
  <c r="P605" i="1"/>
  <c r="A606" i="1"/>
  <c r="B606" i="1"/>
  <c r="D606" i="1"/>
  <c r="E606" i="1"/>
  <c r="F606" i="1"/>
  <c r="G606" i="1"/>
  <c r="H606" i="1"/>
  <c r="I606" i="1"/>
  <c r="J606" i="1"/>
  <c r="K606" i="1"/>
  <c r="L606" i="1"/>
  <c r="M606" i="1"/>
  <c r="O606" i="1"/>
  <c r="P606" i="1"/>
  <c r="A607" i="1"/>
  <c r="B607" i="1"/>
  <c r="D607" i="1"/>
  <c r="E607" i="1"/>
  <c r="F607" i="1"/>
  <c r="G607" i="1"/>
  <c r="H607" i="1"/>
  <c r="I607" i="1"/>
  <c r="J607" i="1"/>
  <c r="K607" i="1"/>
  <c r="L607" i="1"/>
  <c r="M607" i="1"/>
  <c r="O607" i="1"/>
  <c r="P607" i="1"/>
  <c r="A608" i="1"/>
  <c r="B608" i="1"/>
  <c r="D608" i="1"/>
  <c r="E608" i="1"/>
  <c r="F608" i="1"/>
  <c r="G608" i="1"/>
  <c r="H608" i="1"/>
  <c r="I608" i="1"/>
  <c r="J608" i="1"/>
  <c r="K608" i="1"/>
  <c r="L608" i="1"/>
  <c r="M608" i="1"/>
  <c r="O608" i="1"/>
  <c r="P608" i="1"/>
  <c r="A609" i="1"/>
  <c r="B609" i="1"/>
  <c r="D609" i="1"/>
  <c r="E609" i="1"/>
  <c r="F609" i="1"/>
  <c r="G609" i="1"/>
  <c r="H609" i="1"/>
  <c r="I609" i="1"/>
  <c r="J609" i="1"/>
  <c r="K609" i="1"/>
  <c r="L609" i="1"/>
  <c r="M609" i="1"/>
  <c r="O609" i="1"/>
  <c r="P609" i="1"/>
  <c r="A610" i="1"/>
  <c r="B610" i="1"/>
  <c r="D610" i="1"/>
  <c r="E610" i="1"/>
  <c r="F610" i="1"/>
  <c r="G610" i="1"/>
  <c r="H610" i="1"/>
  <c r="I610" i="1"/>
  <c r="J610" i="1"/>
  <c r="K610" i="1"/>
  <c r="L610" i="1"/>
  <c r="M610" i="1"/>
  <c r="O610" i="1"/>
  <c r="P610" i="1"/>
  <c r="A611" i="1"/>
  <c r="B611" i="1"/>
  <c r="D611" i="1"/>
  <c r="E611" i="1"/>
  <c r="F611" i="1"/>
  <c r="G611" i="1"/>
  <c r="H611" i="1"/>
  <c r="I611" i="1"/>
  <c r="J611" i="1"/>
  <c r="K611" i="1"/>
  <c r="L611" i="1"/>
  <c r="M611" i="1"/>
  <c r="O611" i="1"/>
  <c r="P611" i="1"/>
  <c r="A612" i="1"/>
  <c r="B612" i="1"/>
  <c r="D612" i="1"/>
  <c r="E612" i="1"/>
  <c r="F612" i="1"/>
  <c r="G612" i="1"/>
  <c r="H612" i="1"/>
  <c r="I612" i="1"/>
  <c r="J612" i="1"/>
  <c r="K612" i="1"/>
  <c r="L612" i="1"/>
  <c r="M612" i="1"/>
  <c r="O612" i="1"/>
  <c r="P612" i="1"/>
  <c r="A613" i="1"/>
  <c r="B613" i="1"/>
  <c r="D613" i="1"/>
  <c r="E613" i="1"/>
  <c r="F613" i="1"/>
  <c r="G613" i="1"/>
  <c r="H613" i="1"/>
  <c r="I613" i="1"/>
  <c r="J613" i="1"/>
  <c r="K613" i="1"/>
  <c r="L613" i="1"/>
  <c r="M613" i="1"/>
  <c r="O613" i="1"/>
  <c r="P613" i="1"/>
  <c r="A614" i="1"/>
  <c r="B614" i="1"/>
  <c r="D614" i="1"/>
  <c r="E614" i="1"/>
  <c r="F614" i="1"/>
  <c r="G614" i="1"/>
  <c r="H614" i="1"/>
  <c r="I614" i="1"/>
  <c r="J614" i="1"/>
  <c r="K614" i="1"/>
  <c r="L614" i="1"/>
  <c r="M614" i="1"/>
  <c r="O614" i="1"/>
  <c r="P614" i="1"/>
  <c r="A615" i="1"/>
  <c r="B615" i="1"/>
  <c r="D615" i="1"/>
  <c r="E615" i="1"/>
  <c r="F615" i="1"/>
  <c r="G615" i="1"/>
  <c r="H615" i="1"/>
  <c r="I615" i="1"/>
  <c r="J615" i="1"/>
  <c r="K615" i="1"/>
  <c r="L615" i="1"/>
  <c r="M615" i="1"/>
  <c r="O615" i="1"/>
  <c r="P615" i="1"/>
  <c r="A616" i="1"/>
  <c r="B616" i="1"/>
  <c r="D616" i="1"/>
  <c r="E616" i="1"/>
  <c r="F616" i="1"/>
  <c r="G616" i="1"/>
  <c r="H616" i="1"/>
  <c r="I616" i="1"/>
  <c r="J616" i="1"/>
  <c r="K616" i="1"/>
  <c r="L616" i="1"/>
  <c r="M616" i="1"/>
  <c r="O616" i="1"/>
  <c r="P616" i="1"/>
  <c r="A617" i="1"/>
  <c r="B617" i="1"/>
  <c r="D617" i="1"/>
  <c r="E617" i="1"/>
  <c r="F617" i="1"/>
  <c r="G617" i="1"/>
  <c r="H617" i="1"/>
  <c r="I617" i="1"/>
  <c r="J617" i="1"/>
  <c r="K617" i="1"/>
  <c r="L617" i="1"/>
  <c r="M617" i="1"/>
  <c r="O617" i="1"/>
  <c r="P617" i="1"/>
  <c r="A618" i="1"/>
  <c r="B618" i="1"/>
  <c r="D618" i="1"/>
  <c r="E618" i="1"/>
  <c r="F618" i="1"/>
  <c r="G618" i="1"/>
  <c r="H618" i="1"/>
  <c r="I618" i="1"/>
  <c r="J618" i="1"/>
  <c r="K618" i="1"/>
  <c r="L618" i="1"/>
  <c r="M618" i="1"/>
  <c r="O618" i="1"/>
  <c r="P618" i="1"/>
  <c r="A619" i="1"/>
  <c r="B619" i="1"/>
  <c r="D619" i="1"/>
  <c r="E619" i="1"/>
  <c r="F619" i="1"/>
  <c r="G619" i="1"/>
  <c r="H619" i="1"/>
  <c r="I619" i="1"/>
  <c r="J619" i="1"/>
  <c r="K619" i="1"/>
  <c r="L619" i="1"/>
  <c r="M619" i="1"/>
  <c r="O619" i="1"/>
  <c r="P619" i="1"/>
  <c r="A620" i="1"/>
  <c r="B620" i="1"/>
  <c r="D620" i="1"/>
  <c r="E620" i="1"/>
  <c r="F620" i="1"/>
  <c r="G620" i="1"/>
  <c r="H620" i="1"/>
  <c r="I620" i="1"/>
  <c r="J620" i="1"/>
  <c r="K620" i="1"/>
  <c r="L620" i="1"/>
  <c r="M620" i="1"/>
  <c r="O620" i="1"/>
  <c r="P620" i="1"/>
  <c r="A621" i="1"/>
  <c r="B621" i="1"/>
  <c r="D621" i="1"/>
  <c r="E621" i="1"/>
  <c r="F621" i="1"/>
  <c r="G621" i="1"/>
  <c r="H621" i="1"/>
  <c r="I621" i="1"/>
  <c r="J621" i="1"/>
  <c r="K621" i="1"/>
  <c r="L621" i="1"/>
  <c r="M621" i="1"/>
  <c r="O621" i="1"/>
  <c r="P621" i="1"/>
  <c r="A622" i="1"/>
  <c r="B622" i="1"/>
  <c r="D622" i="1"/>
  <c r="E622" i="1"/>
  <c r="F622" i="1"/>
  <c r="G622" i="1"/>
  <c r="H622" i="1"/>
  <c r="I622" i="1"/>
  <c r="J622" i="1"/>
  <c r="K622" i="1"/>
  <c r="L622" i="1"/>
  <c r="M622" i="1"/>
  <c r="O622" i="1"/>
  <c r="P622" i="1"/>
  <c r="A623" i="1"/>
  <c r="B623" i="1"/>
  <c r="D623" i="1"/>
  <c r="E623" i="1"/>
  <c r="F623" i="1"/>
  <c r="G623" i="1"/>
  <c r="H623" i="1"/>
  <c r="I623" i="1"/>
  <c r="J623" i="1"/>
  <c r="K623" i="1"/>
  <c r="L623" i="1"/>
  <c r="M623" i="1"/>
  <c r="O623" i="1"/>
  <c r="P623" i="1"/>
  <c r="A624" i="1"/>
  <c r="B624" i="1"/>
  <c r="D624" i="1"/>
  <c r="E624" i="1"/>
  <c r="F624" i="1"/>
  <c r="G624" i="1"/>
  <c r="H624" i="1"/>
  <c r="I624" i="1"/>
  <c r="J624" i="1"/>
  <c r="K624" i="1"/>
  <c r="L624" i="1"/>
  <c r="M624" i="1"/>
  <c r="O624" i="1"/>
  <c r="P624" i="1"/>
  <c r="A625" i="1"/>
  <c r="B625" i="1"/>
  <c r="D625" i="1"/>
  <c r="E625" i="1"/>
  <c r="F625" i="1"/>
  <c r="G625" i="1"/>
  <c r="H625" i="1"/>
  <c r="I625" i="1"/>
  <c r="J625" i="1"/>
  <c r="K625" i="1"/>
  <c r="L625" i="1"/>
  <c r="M625" i="1"/>
  <c r="O625" i="1"/>
  <c r="P625" i="1"/>
  <c r="A626" i="1"/>
  <c r="B626" i="1"/>
  <c r="D626" i="1"/>
  <c r="E626" i="1"/>
  <c r="F626" i="1"/>
  <c r="G626" i="1"/>
  <c r="H626" i="1"/>
  <c r="I626" i="1"/>
  <c r="J626" i="1"/>
  <c r="K626" i="1"/>
  <c r="L626" i="1"/>
  <c r="M626" i="1"/>
  <c r="O626" i="1"/>
  <c r="P626" i="1"/>
  <c r="A627" i="1"/>
  <c r="B627" i="1"/>
  <c r="D627" i="1"/>
  <c r="E627" i="1"/>
  <c r="F627" i="1"/>
  <c r="G627" i="1"/>
  <c r="H627" i="1"/>
  <c r="I627" i="1"/>
  <c r="J627" i="1"/>
  <c r="K627" i="1"/>
  <c r="L627" i="1"/>
  <c r="M627" i="1"/>
  <c r="O627" i="1"/>
  <c r="P627" i="1"/>
  <c r="A628" i="1"/>
  <c r="B628" i="1"/>
  <c r="D628" i="1"/>
  <c r="E628" i="1"/>
  <c r="F628" i="1"/>
  <c r="G628" i="1"/>
  <c r="H628" i="1"/>
  <c r="I628" i="1"/>
  <c r="J628" i="1"/>
  <c r="K628" i="1"/>
  <c r="L628" i="1"/>
  <c r="M628" i="1"/>
  <c r="O628" i="1"/>
  <c r="P628" i="1"/>
  <c r="A629" i="1"/>
  <c r="B629" i="1"/>
  <c r="D629" i="1"/>
  <c r="E629" i="1"/>
  <c r="F629" i="1"/>
  <c r="G629" i="1"/>
  <c r="H629" i="1"/>
  <c r="I629" i="1"/>
  <c r="J629" i="1"/>
  <c r="K629" i="1"/>
  <c r="L629" i="1"/>
  <c r="M629" i="1"/>
  <c r="O629" i="1"/>
  <c r="P629" i="1"/>
  <c r="A630" i="1"/>
  <c r="B630" i="1"/>
  <c r="D630" i="1"/>
  <c r="E630" i="1"/>
  <c r="F630" i="1"/>
  <c r="G630" i="1"/>
  <c r="H630" i="1"/>
  <c r="I630" i="1"/>
  <c r="J630" i="1"/>
  <c r="K630" i="1"/>
  <c r="L630" i="1"/>
  <c r="M630" i="1"/>
  <c r="O630" i="1"/>
  <c r="P630" i="1"/>
  <c r="A631" i="1"/>
  <c r="B631" i="1"/>
  <c r="D631" i="1"/>
  <c r="E631" i="1"/>
  <c r="F631" i="1"/>
  <c r="G631" i="1"/>
  <c r="H631" i="1"/>
  <c r="I631" i="1"/>
  <c r="J631" i="1"/>
  <c r="K631" i="1"/>
  <c r="L631" i="1"/>
  <c r="M631" i="1"/>
  <c r="O631" i="1"/>
  <c r="P631" i="1"/>
  <c r="A632" i="1"/>
  <c r="B632" i="1"/>
  <c r="D632" i="1"/>
  <c r="E632" i="1"/>
  <c r="F632" i="1"/>
  <c r="G632" i="1"/>
  <c r="H632" i="1"/>
  <c r="I632" i="1"/>
  <c r="J632" i="1"/>
  <c r="K632" i="1"/>
  <c r="L632" i="1"/>
  <c r="M632" i="1"/>
  <c r="O632" i="1"/>
  <c r="P632" i="1"/>
  <c r="A633" i="1"/>
  <c r="B633" i="1"/>
  <c r="D633" i="1"/>
  <c r="E633" i="1"/>
  <c r="F633" i="1"/>
  <c r="G633" i="1"/>
  <c r="H633" i="1"/>
  <c r="I633" i="1"/>
  <c r="J633" i="1"/>
  <c r="K633" i="1"/>
  <c r="L633" i="1"/>
  <c r="M633" i="1"/>
  <c r="O633" i="1"/>
  <c r="P633" i="1"/>
  <c r="A634" i="1"/>
  <c r="B634" i="1"/>
  <c r="D634" i="1"/>
  <c r="E634" i="1"/>
  <c r="F634" i="1"/>
  <c r="G634" i="1"/>
  <c r="H634" i="1"/>
  <c r="I634" i="1"/>
  <c r="J634" i="1"/>
  <c r="K634" i="1"/>
  <c r="L634" i="1"/>
  <c r="M634" i="1"/>
  <c r="O634" i="1"/>
  <c r="P634" i="1"/>
  <c r="A635" i="1"/>
  <c r="B635" i="1"/>
  <c r="D635" i="1"/>
  <c r="E635" i="1"/>
  <c r="F635" i="1"/>
  <c r="G635" i="1"/>
  <c r="H635" i="1"/>
  <c r="I635" i="1"/>
  <c r="J635" i="1"/>
  <c r="K635" i="1"/>
  <c r="L635" i="1"/>
  <c r="M635" i="1"/>
  <c r="O635" i="1"/>
  <c r="P635" i="1"/>
  <c r="A636" i="1"/>
  <c r="B636" i="1"/>
  <c r="D636" i="1"/>
  <c r="E636" i="1"/>
  <c r="F636" i="1"/>
  <c r="G636" i="1"/>
  <c r="H636" i="1"/>
  <c r="I636" i="1"/>
  <c r="J636" i="1"/>
  <c r="K636" i="1"/>
  <c r="L636" i="1"/>
  <c r="M636" i="1"/>
  <c r="O636" i="1"/>
  <c r="P636" i="1"/>
  <c r="A637" i="1"/>
  <c r="B637" i="1"/>
  <c r="D637" i="1"/>
  <c r="E637" i="1"/>
  <c r="F637" i="1"/>
  <c r="G637" i="1"/>
  <c r="H637" i="1"/>
  <c r="I637" i="1"/>
  <c r="J637" i="1"/>
  <c r="K637" i="1"/>
  <c r="L637" i="1"/>
  <c r="M637" i="1"/>
  <c r="O637" i="1"/>
  <c r="P637" i="1"/>
  <c r="A638" i="1"/>
  <c r="B638" i="1"/>
  <c r="D638" i="1"/>
  <c r="E638" i="1"/>
  <c r="F638" i="1"/>
  <c r="G638" i="1"/>
  <c r="H638" i="1"/>
  <c r="I638" i="1"/>
  <c r="J638" i="1"/>
  <c r="K638" i="1"/>
  <c r="L638" i="1"/>
  <c r="M638" i="1"/>
  <c r="O638" i="1"/>
  <c r="P638" i="1"/>
  <c r="A639" i="1"/>
  <c r="B639" i="1"/>
  <c r="D639" i="1"/>
  <c r="E639" i="1"/>
  <c r="F639" i="1"/>
  <c r="G639" i="1"/>
  <c r="H639" i="1"/>
  <c r="I639" i="1"/>
  <c r="J639" i="1"/>
  <c r="K639" i="1"/>
  <c r="L639" i="1"/>
  <c r="M639" i="1"/>
  <c r="O639" i="1"/>
  <c r="P639" i="1"/>
  <c r="A640" i="1"/>
  <c r="B640" i="1"/>
  <c r="D640" i="1"/>
  <c r="E640" i="1"/>
  <c r="F640" i="1"/>
  <c r="G640" i="1"/>
  <c r="H640" i="1"/>
  <c r="I640" i="1"/>
  <c r="J640" i="1"/>
  <c r="K640" i="1"/>
  <c r="L640" i="1"/>
  <c r="M640" i="1"/>
  <c r="O640" i="1"/>
  <c r="P640" i="1"/>
  <c r="A641" i="1"/>
  <c r="B641" i="1"/>
  <c r="D641" i="1"/>
  <c r="E641" i="1"/>
  <c r="F641" i="1"/>
  <c r="G641" i="1"/>
  <c r="H641" i="1"/>
  <c r="I641" i="1"/>
  <c r="J641" i="1"/>
  <c r="K641" i="1"/>
  <c r="L641" i="1"/>
  <c r="M641" i="1"/>
  <c r="O641" i="1"/>
  <c r="P641" i="1"/>
  <c r="A642" i="1"/>
  <c r="B642" i="1"/>
  <c r="D642" i="1"/>
  <c r="E642" i="1"/>
  <c r="F642" i="1"/>
  <c r="G642" i="1"/>
  <c r="H642" i="1"/>
  <c r="I642" i="1"/>
  <c r="J642" i="1"/>
  <c r="K642" i="1"/>
  <c r="L642" i="1"/>
  <c r="M642" i="1"/>
  <c r="O642" i="1"/>
  <c r="P642" i="1"/>
  <c r="A643" i="1"/>
  <c r="B643" i="1"/>
  <c r="D643" i="1"/>
  <c r="E643" i="1"/>
  <c r="F643" i="1"/>
  <c r="G643" i="1"/>
  <c r="H643" i="1"/>
  <c r="I643" i="1"/>
  <c r="J643" i="1"/>
  <c r="K643" i="1"/>
  <c r="L643" i="1"/>
  <c r="M643" i="1"/>
  <c r="O643" i="1"/>
  <c r="P643" i="1"/>
  <c r="A644" i="1"/>
  <c r="B644" i="1"/>
  <c r="D644" i="1"/>
  <c r="E644" i="1"/>
  <c r="F644" i="1"/>
  <c r="G644" i="1"/>
  <c r="H644" i="1"/>
  <c r="I644" i="1"/>
  <c r="J644" i="1"/>
  <c r="K644" i="1"/>
  <c r="L644" i="1"/>
  <c r="M644" i="1"/>
  <c r="O644" i="1"/>
  <c r="P644" i="1"/>
  <c r="A645" i="1"/>
  <c r="B645" i="1"/>
  <c r="D645" i="1"/>
  <c r="E645" i="1"/>
  <c r="F645" i="1"/>
  <c r="G645" i="1"/>
  <c r="H645" i="1"/>
  <c r="I645" i="1"/>
  <c r="J645" i="1"/>
  <c r="K645" i="1"/>
  <c r="L645" i="1"/>
  <c r="M645" i="1"/>
  <c r="O645" i="1"/>
  <c r="P645" i="1"/>
  <c r="A646" i="1"/>
  <c r="B646" i="1"/>
  <c r="D646" i="1"/>
  <c r="E646" i="1"/>
  <c r="F646" i="1"/>
  <c r="G646" i="1"/>
  <c r="H646" i="1"/>
  <c r="I646" i="1"/>
  <c r="J646" i="1"/>
  <c r="K646" i="1"/>
  <c r="L646" i="1"/>
  <c r="M646" i="1"/>
  <c r="O646" i="1"/>
  <c r="P646" i="1"/>
  <c r="A647" i="1"/>
  <c r="B647" i="1"/>
  <c r="D647" i="1"/>
  <c r="E647" i="1"/>
  <c r="F647" i="1"/>
  <c r="G647" i="1"/>
  <c r="H647" i="1"/>
  <c r="I647" i="1"/>
  <c r="J647" i="1"/>
  <c r="K647" i="1"/>
  <c r="L647" i="1"/>
  <c r="M647" i="1"/>
  <c r="O647" i="1"/>
  <c r="P647" i="1"/>
  <c r="A648" i="1"/>
  <c r="B648" i="1"/>
  <c r="D648" i="1"/>
  <c r="E648" i="1"/>
  <c r="F648" i="1"/>
  <c r="G648" i="1"/>
  <c r="H648" i="1"/>
  <c r="I648" i="1"/>
  <c r="J648" i="1"/>
  <c r="K648" i="1"/>
  <c r="L648" i="1"/>
  <c r="M648" i="1"/>
  <c r="O648" i="1"/>
  <c r="P648" i="1"/>
  <c r="A649" i="1"/>
  <c r="B649" i="1"/>
  <c r="D649" i="1"/>
  <c r="E649" i="1"/>
  <c r="F649" i="1"/>
  <c r="G649" i="1"/>
  <c r="H649" i="1"/>
  <c r="I649" i="1"/>
  <c r="J649" i="1"/>
  <c r="K649" i="1"/>
  <c r="L649" i="1"/>
  <c r="M649" i="1"/>
  <c r="O649" i="1"/>
  <c r="P649" i="1"/>
  <c r="A650" i="1"/>
  <c r="B650" i="1"/>
  <c r="D650" i="1"/>
  <c r="E650" i="1"/>
  <c r="F650" i="1"/>
  <c r="G650" i="1"/>
  <c r="H650" i="1"/>
  <c r="I650" i="1"/>
  <c r="J650" i="1"/>
  <c r="K650" i="1"/>
  <c r="L650" i="1"/>
  <c r="M650" i="1"/>
  <c r="O650" i="1"/>
  <c r="P650" i="1"/>
  <c r="A651" i="1"/>
  <c r="B651" i="1"/>
  <c r="D651" i="1"/>
  <c r="E651" i="1"/>
  <c r="F651" i="1"/>
  <c r="G651" i="1"/>
  <c r="H651" i="1"/>
  <c r="I651" i="1"/>
  <c r="J651" i="1"/>
  <c r="K651" i="1"/>
  <c r="L651" i="1"/>
  <c r="M651" i="1"/>
  <c r="O651" i="1"/>
  <c r="P651" i="1"/>
  <c r="A652" i="1"/>
  <c r="B652" i="1"/>
  <c r="D652" i="1"/>
  <c r="E652" i="1"/>
  <c r="F652" i="1"/>
  <c r="G652" i="1"/>
  <c r="H652" i="1"/>
  <c r="I652" i="1"/>
  <c r="J652" i="1"/>
  <c r="K652" i="1"/>
  <c r="L652" i="1"/>
  <c r="M652" i="1"/>
  <c r="O652" i="1"/>
  <c r="P652" i="1"/>
  <c r="A653" i="1"/>
  <c r="B653" i="1"/>
  <c r="D653" i="1"/>
  <c r="E653" i="1"/>
  <c r="F653" i="1"/>
  <c r="G653" i="1"/>
  <c r="H653" i="1"/>
  <c r="I653" i="1"/>
  <c r="J653" i="1"/>
  <c r="K653" i="1"/>
  <c r="L653" i="1"/>
  <c r="M653" i="1"/>
  <c r="O653" i="1"/>
  <c r="P653" i="1"/>
  <c r="A654" i="1"/>
  <c r="B654" i="1"/>
  <c r="D654" i="1"/>
  <c r="E654" i="1"/>
  <c r="F654" i="1"/>
  <c r="G654" i="1"/>
  <c r="H654" i="1"/>
  <c r="I654" i="1"/>
  <c r="J654" i="1"/>
  <c r="K654" i="1"/>
  <c r="L654" i="1"/>
  <c r="M654" i="1"/>
  <c r="O654" i="1"/>
  <c r="P654" i="1"/>
  <c r="A655" i="1"/>
  <c r="B655" i="1"/>
  <c r="D655" i="1"/>
  <c r="E655" i="1"/>
  <c r="F655" i="1"/>
  <c r="G655" i="1"/>
  <c r="H655" i="1"/>
  <c r="I655" i="1"/>
  <c r="J655" i="1"/>
  <c r="K655" i="1"/>
  <c r="L655" i="1"/>
  <c r="M655" i="1"/>
  <c r="O655" i="1"/>
  <c r="P655" i="1"/>
  <c r="A656" i="1"/>
  <c r="B656" i="1"/>
  <c r="D656" i="1"/>
  <c r="E656" i="1"/>
  <c r="F656" i="1"/>
  <c r="G656" i="1"/>
  <c r="H656" i="1"/>
  <c r="I656" i="1"/>
  <c r="J656" i="1"/>
  <c r="K656" i="1"/>
  <c r="L656" i="1"/>
  <c r="M656" i="1"/>
  <c r="O656" i="1"/>
  <c r="P656" i="1"/>
  <c r="A657" i="1"/>
  <c r="B657" i="1"/>
  <c r="D657" i="1"/>
  <c r="E657" i="1"/>
  <c r="F657" i="1"/>
  <c r="G657" i="1"/>
  <c r="H657" i="1"/>
  <c r="I657" i="1"/>
  <c r="J657" i="1"/>
  <c r="K657" i="1"/>
  <c r="L657" i="1"/>
  <c r="M657" i="1"/>
  <c r="O657" i="1"/>
  <c r="P657" i="1"/>
  <c r="A658" i="1"/>
  <c r="B658" i="1"/>
  <c r="D658" i="1"/>
  <c r="E658" i="1"/>
  <c r="F658" i="1"/>
  <c r="G658" i="1"/>
  <c r="H658" i="1"/>
  <c r="I658" i="1"/>
  <c r="J658" i="1"/>
  <c r="K658" i="1"/>
  <c r="L658" i="1"/>
  <c r="M658" i="1"/>
  <c r="O658" i="1"/>
  <c r="P658" i="1"/>
  <c r="A659" i="1"/>
  <c r="B659" i="1"/>
  <c r="D659" i="1"/>
  <c r="E659" i="1"/>
  <c r="F659" i="1"/>
  <c r="G659" i="1"/>
  <c r="H659" i="1"/>
  <c r="I659" i="1"/>
  <c r="J659" i="1"/>
  <c r="K659" i="1"/>
  <c r="L659" i="1"/>
  <c r="M659" i="1"/>
  <c r="O659" i="1"/>
  <c r="P659" i="1"/>
  <c r="A660" i="1"/>
  <c r="B660" i="1"/>
  <c r="D660" i="1"/>
  <c r="E660" i="1"/>
  <c r="F660" i="1"/>
  <c r="G660" i="1"/>
  <c r="H660" i="1"/>
  <c r="I660" i="1"/>
  <c r="J660" i="1"/>
  <c r="K660" i="1"/>
  <c r="L660" i="1"/>
  <c r="M660" i="1"/>
  <c r="O660" i="1"/>
  <c r="P660" i="1"/>
  <c r="A661" i="1"/>
  <c r="B661" i="1"/>
  <c r="D661" i="1"/>
  <c r="E661" i="1"/>
  <c r="F661" i="1"/>
  <c r="G661" i="1"/>
  <c r="H661" i="1"/>
  <c r="I661" i="1"/>
  <c r="J661" i="1"/>
  <c r="K661" i="1"/>
  <c r="L661" i="1"/>
  <c r="M661" i="1"/>
  <c r="O661" i="1"/>
  <c r="P661" i="1"/>
  <c r="A662" i="1"/>
  <c r="B662" i="1"/>
  <c r="D662" i="1"/>
  <c r="E662" i="1"/>
  <c r="F662" i="1"/>
  <c r="G662" i="1"/>
  <c r="H662" i="1"/>
  <c r="I662" i="1"/>
  <c r="J662" i="1"/>
  <c r="K662" i="1"/>
  <c r="L662" i="1"/>
  <c r="M662" i="1"/>
  <c r="O662" i="1"/>
  <c r="P662" i="1"/>
  <c r="A663" i="1"/>
  <c r="B663" i="1"/>
  <c r="D663" i="1"/>
  <c r="E663" i="1"/>
  <c r="F663" i="1"/>
  <c r="G663" i="1"/>
  <c r="H663" i="1"/>
  <c r="I663" i="1"/>
  <c r="J663" i="1"/>
  <c r="K663" i="1"/>
  <c r="L663" i="1"/>
  <c r="M663" i="1"/>
  <c r="O663" i="1"/>
  <c r="P663" i="1"/>
  <c r="A664" i="1"/>
  <c r="B664" i="1"/>
  <c r="D664" i="1"/>
  <c r="E664" i="1"/>
  <c r="F664" i="1"/>
  <c r="G664" i="1"/>
  <c r="H664" i="1"/>
  <c r="I664" i="1"/>
  <c r="J664" i="1"/>
  <c r="K664" i="1"/>
  <c r="L664" i="1"/>
  <c r="M664" i="1"/>
  <c r="O664" i="1"/>
  <c r="P664" i="1"/>
  <c r="A665" i="1"/>
  <c r="B665" i="1"/>
  <c r="D665" i="1"/>
  <c r="E665" i="1"/>
  <c r="F665" i="1"/>
  <c r="G665" i="1"/>
  <c r="H665" i="1"/>
  <c r="I665" i="1"/>
  <c r="J665" i="1"/>
  <c r="K665" i="1"/>
  <c r="L665" i="1"/>
  <c r="M665" i="1"/>
  <c r="O665" i="1"/>
  <c r="P665" i="1"/>
  <c r="A666" i="1"/>
  <c r="B666" i="1"/>
  <c r="D666" i="1"/>
  <c r="E666" i="1"/>
  <c r="F666" i="1"/>
  <c r="G666" i="1"/>
  <c r="H666" i="1"/>
  <c r="I666" i="1"/>
  <c r="J666" i="1"/>
  <c r="K666" i="1"/>
  <c r="L666" i="1"/>
  <c r="M666" i="1"/>
  <c r="O666" i="1"/>
  <c r="P666" i="1"/>
  <c r="A667" i="1"/>
  <c r="B667" i="1"/>
  <c r="D667" i="1"/>
  <c r="E667" i="1"/>
  <c r="F667" i="1"/>
  <c r="G667" i="1"/>
  <c r="H667" i="1"/>
  <c r="I667" i="1"/>
  <c r="J667" i="1"/>
  <c r="K667" i="1"/>
  <c r="L667" i="1"/>
  <c r="M667" i="1"/>
  <c r="O667" i="1"/>
  <c r="P667" i="1"/>
  <c r="A668" i="1"/>
  <c r="B668" i="1"/>
  <c r="D668" i="1"/>
  <c r="E668" i="1"/>
  <c r="F668" i="1"/>
  <c r="G668" i="1"/>
  <c r="H668" i="1"/>
  <c r="I668" i="1"/>
  <c r="J668" i="1"/>
  <c r="K668" i="1"/>
  <c r="L668" i="1"/>
  <c r="M668" i="1"/>
  <c r="O668" i="1"/>
  <c r="P668" i="1"/>
  <c r="A669" i="1"/>
  <c r="B669" i="1"/>
  <c r="D669" i="1"/>
  <c r="E669" i="1"/>
  <c r="F669" i="1"/>
  <c r="G669" i="1"/>
  <c r="H669" i="1"/>
  <c r="I669" i="1"/>
  <c r="J669" i="1"/>
  <c r="K669" i="1"/>
  <c r="L669" i="1"/>
  <c r="M669" i="1"/>
  <c r="O669" i="1"/>
  <c r="P669" i="1"/>
  <c r="A670" i="1"/>
  <c r="B670" i="1"/>
  <c r="D670" i="1"/>
  <c r="E670" i="1"/>
  <c r="F670" i="1"/>
  <c r="G670" i="1"/>
  <c r="H670" i="1"/>
  <c r="I670" i="1"/>
  <c r="J670" i="1"/>
  <c r="K670" i="1"/>
  <c r="L670" i="1"/>
  <c r="M670" i="1"/>
  <c r="O670" i="1"/>
  <c r="P670" i="1"/>
  <c r="A671" i="1"/>
  <c r="B671" i="1"/>
  <c r="D671" i="1"/>
  <c r="E671" i="1"/>
  <c r="F671" i="1"/>
  <c r="G671" i="1"/>
  <c r="H671" i="1"/>
  <c r="I671" i="1"/>
  <c r="J671" i="1"/>
  <c r="K671" i="1"/>
  <c r="L671" i="1"/>
  <c r="M671" i="1"/>
  <c r="O671" i="1"/>
  <c r="P671" i="1"/>
  <c r="A672" i="1"/>
  <c r="B672" i="1"/>
  <c r="D672" i="1"/>
  <c r="E672" i="1"/>
  <c r="F672" i="1"/>
  <c r="G672" i="1"/>
  <c r="H672" i="1"/>
  <c r="I672" i="1"/>
  <c r="J672" i="1"/>
  <c r="K672" i="1"/>
  <c r="L672" i="1"/>
  <c r="M672" i="1"/>
  <c r="O672" i="1"/>
  <c r="P672" i="1"/>
  <c r="A673" i="1"/>
  <c r="B673" i="1"/>
  <c r="D673" i="1"/>
  <c r="E673" i="1"/>
  <c r="F673" i="1"/>
  <c r="G673" i="1"/>
  <c r="H673" i="1"/>
  <c r="I673" i="1"/>
  <c r="J673" i="1"/>
  <c r="K673" i="1"/>
  <c r="L673" i="1"/>
  <c r="M673" i="1"/>
  <c r="O673" i="1"/>
  <c r="P673" i="1"/>
  <c r="A674" i="1"/>
  <c r="B674" i="1"/>
  <c r="D674" i="1"/>
  <c r="E674" i="1"/>
  <c r="F674" i="1"/>
  <c r="G674" i="1"/>
  <c r="H674" i="1"/>
  <c r="I674" i="1"/>
  <c r="J674" i="1"/>
  <c r="K674" i="1"/>
  <c r="L674" i="1"/>
  <c r="M674" i="1"/>
  <c r="O674" i="1"/>
  <c r="P674" i="1"/>
  <c r="A675" i="1"/>
  <c r="B675" i="1"/>
  <c r="D675" i="1"/>
  <c r="E675" i="1"/>
  <c r="F675" i="1"/>
  <c r="G675" i="1"/>
  <c r="H675" i="1"/>
  <c r="I675" i="1"/>
  <c r="J675" i="1"/>
  <c r="K675" i="1"/>
  <c r="L675" i="1"/>
  <c r="M675" i="1"/>
  <c r="O675" i="1"/>
  <c r="P675" i="1"/>
  <c r="A676" i="1"/>
  <c r="B676" i="1"/>
  <c r="D676" i="1"/>
  <c r="E676" i="1"/>
  <c r="F676" i="1"/>
  <c r="G676" i="1"/>
  <c r="H676" i="1"/>
  <c r="I676" i="1"/>
  <c r="J676" i="1"/>
  <c r="K676" i="1"/>
  <c r="L676" i="1"/>
  <c r="M676" i="1"/>
  <c r="O676" i="1"/>
  <c r="P676" i="1"/>
  <c r="A677" i="1"/>
  <c r="B677" i="1"/>
  <c r="D677" i="1"/>
  <c r="E677" i="1"/>
  <c r="F677" i="1"/>
  <c r="G677" i="1"/>
  <c r="H677" i="1"/>
  <c r="I677" i="1"/>
  <c r="J677" i="1"/>
  <c r="K677" i="1"/>
  <c r="L677" i="1"/>
  <c r="M677" i="1"/>
  <c r="O677" i="1"/>
  <c r="P677" i="1"/>
  <c r="A678" i="1"/>
  <c r="B678" i="1"/>
  <c r="D678" i="1"/>
  <c r="E678" i="1"/>
  <c r="F678" i="1"/>
  <c r="G678" i="1"/>
  <c r="H678" i="1"/>
  <c r="I678" i="1"/>
  <c r="J678" i="1"/>
  <c r="K678" i="1"/>
  <c r="L678" i="1"/>
  <c r="M678" i="1"/>
  <c r="O678" i="1"/>
  <c r="P678" i="1"/>
  <c r="A679" i="1"/>
  <c r="B679" i="1"/>
  <c r="D679" i="1"/>
  <c r="E679" i="1"/>
  <c r="F679" i="1"/>
  <c r="G679" i="1"/>
  <c r="H679" i="1"/>
  <c r="I679" i="1"/>
  <c r="J679" i="1"/>
  <c r="K679" i="1"/>
  <c r="L679" i="1"/>
  <c r="M679" i="1"/>
  <c r="O679" i="1"/>
  <c r="P679" i="1"/>
  <c r="A680" i="1"/>
  <c r="B680" i="1"/>
  <c r="D680" i="1"/>
  <c r="E680" i="1"/>
  <c r="F680" i="1"/>
  <c r="G680" i="1"/>
  <c r="H680" i="1"/>
  <c r="I680" i="1"/>
  <c r="J680" i="1"/>
  <c r="K680" i="1"/>
  <c r="L680" i="1"/>
  <c r="M680" i="1"/>
  <c r="O680" i="1"/>
  <c r="P680" i="1"/>
  <c r="A681" i="1"/>
  <c r="B681" i="1"/>
  <c r="D681" i="1"/>
  <c r="E681" i="1"/>
  <c r="F681" i="1"/>
  <c r="G681" i="1"/>
  <c r="H681" i="1"/>
  <c r="I681" i="1"/>
  <c r="J681" i="1"/>
  <c r="K681" i="1"/>
  <c r="L681" i="1"/>
  <c r="M681" i="1"/>
  <c r="O681" i="1"/>
  <c r="P681" i="1"/>
  <c r="A682" i="1"/>
  <c r="B682" i="1"/>
  <c r="D682" i="1"/>
  <c r="E682" i="1"/>
  <c r="F682" i="1"/>
  <c r="G682" i="1"/>
  <c r="H682" i="1"/>
  <c r="I682" i="1"/>
  <c r="J682" i="1"/>
  <c r="K682" i="1"/>
  <c r="L682" i="1"/>
  <c r="M682" i="1"/>
  <c r="O682" i="1"/>
  <c r="P682" i="1"/>
  <c r="A683" i="1"/>
  <c r="B683" i="1"/>
  <c r="D683" i="1"/>
  <c r="E683" i="1"/>
  <c r="F683" i="1"/>
  <c r="G683" i="1"/>
  <c r="H683" i="1"/>
  <c r="I683" i="1"/>
  <c r="J683" i="1"/>
  <c r="K683" i="1"/>
  <c r="L683" i="1"/>
  <c r="M683" i="1"/>
  <c r="O683" i="1"/>
  <c r="P683" i="1"/>
  <c r="A684" i="1"/>
  <c r="B684" i="1"/>
  <c r="D684" i="1"/>
  <c r="E684" i="1"/>
  <c r="F684" i="1"/>
  <c r="G684" i="1"/>
  <c r="H684" i="1"/>
  <c r="I684" i="1"/>
  <c r="J684" i="1"/>
  <c r="K684" i="1"/>
  <c r="L684" i="1"/>
  <c r="M684" i="1"/>
  <c r="O684" i="1"/>
  <c r="P684" i="1"/>
  <c r="A685" i="1"/>
  <c r="B685" i="1"/>
  <c r="D685" i="1"/>
  <c r="E685" i="1"/>
  <c r="F685" i="1"/>
  <c r="G685" i="1"/>
  <c r="H685" i="1"/>
  <c r="I685" i="1"/>
  <c r="J685" i="1"/>
  <c r="K685" i="1"/>
  <c r="L685" i="1"/>
  <c r="M685" i="1"/>
  <c r="O685" i="1"/>
  <c r="P685" i="1"/>
  <c r="A686" i="1"/>
  <c r="B686" i="1"/>
  <c r="D686" i="1"/>
  <c r="E686" i="1"/>
  <c r="F686" i="1"/>
  <c r="G686" i="1"/>
  <c r="H686" i="1"/>
  <c r="I686" i="1"/>
  <c r="J686" i="1"/>
  <c r="K686" i="1"/>
  <c r="L686" i="1"/>
  <c r="M686" i="1"/>
  <c r="O686" i="1"/>
  <c r="P686" i="1"/>
  <c r="A687" i="1"/>
  <c r="B687" i="1"/>
  <c r="D687" i="1"/>
  <c r="E687" i="1"/>
  <c r="F687" i="1"/>
  <c r="G687" i="1"/>
  <c r="H687" i="1"/>
  <c r="I687" i="1"/>
  <c r="J687" i="1"/>
  <c r="K687" i="1"/>
  <c r="L687" i="1"/>
  <c r="M687" i="1"/>
  <c r="O687" i="1"/>
  <c r="P687" i="1"/>
  <c r="A688" i="1"/>
  <c r="B688" i="1"/>
  <c r="D688" i="1"/>
  <c r="E688" i="1"/>
  <c r="F688" i="1"/>
  <c r="G688" i="1"/>
  <c r="H688" i="1"/>
  <c r="I688" i="1"/>
  <c r="J688" i="1"/>
  <c r="K688" i="1"/>
  <c r="L688" i="1"/>
  <c r="M688" i="1"/>
  <c r="O688" i="1"/>
  <c r="P688" i="1"/>
  <c r="A689" i="1"/>
  <c r="B689" i="1"/>
  <c r="D689" i="1"/>
  <c r="E689" i="1"/>
  <c r="F689" i="1"/>
  <c r="G689" i="1"/>
  <c r="H689" i="1"/>
  <c r="I689" i="1"/>
  <c r="J689" i="1"/>
  <c r="K689" i="1"/>
  <c r="L689" i="1"/>
  <c r="M689" i="1"/>
  <c r="O689" i="1"/>
  <c r="P689" i="1"/>
  <c r="A690" i="1"/>
  <c r="B690" i="1"/>
  <c r="D690" i="1"/>
  <c r="E690" i="1"/>
  <c r="F690" i="1"/>
  <c r="G690" i="1"/>
  <c r="H690" i="1"/>
  <c r="I690" i="1"/>
  <c r="J690" i="1"/>
  <c r="K690" i="1"/>
  <c r="L690" i="1"/>
  <c r="M690" i="1"/>
  <c r="O690" i="1"/>
  <c r="P690" i="1"/>
  <c r="A691" i="1"/>
  <c r="B691" i="1"/>
  <c r="D691" i="1"/>
  <c r="E691" i="1"/>
  <c r="F691" i="1"/>
  <c r="G691" i="1"/>
  <c r="H691" i="1"/>
  <c r="I691" i="1"/>
  <c r="J691" i="1"/>
  <c r="K691" i="1"/>
  <c r="L691" i="1"/>
  <c r="M691" i="1"/>
  <c r="O691" i="1"/>
  <c r="P691" i="1"/>
  <c r="A692" i="1"/>
  <c r="B692" i="1"/>
  <c r="D692" i="1"/>
  <c r="E692" i="1"/>
  <c r="F692" i="1"/>
  <c r="G692" i="1"/>
  <c r="H692" i="1"/>
  <c r="I692" i="1"/>
  <c r="J692" i="1"/>
  <c r="K692" i="1"/>
  <c r="L692" i="1"/>
  <c r="M692" i="1"/>
  <c r="O692" i="1"/>
  <c r="P692" i="1"/>
  <c r="A693" i="1"/>
  <c r="B693" i="1"/>
  <c r="D693" i="1"/>
  <c r="E693" i="1"/>
  <c r="F693" i="1"/>
  <c r="G693" i="1"/>
  <c r="H693" i="1"/>
  <c r="I693" i="1"/>
  <c r="J693" i="1"/>
  <c r="K693" i="1"/>
  <c r="L693" i="1"/>
  <c r="M693" i="1"/>
  <c r="O693" i="1"/>
  <c r="P693" i="1"/>
  <c r="A694" i="1"/>
  <c r="B694" i="1"/>
  <c r="D694" i="1"/>
  <c r="E694" i="1"/>
  <c r="F694" i="1"/>
  <c r="G694" i="1"/>
  <c r="H694" i="1"/>
  <c r="I694" i="1"/>
  <c r="J694" i="1"/>
  <c r="K694" i="1"/>
  <c r="L694" i="1"/>
  <c r="M694" i="1"/>
  <c r="O694" i="1"/>
  <c r="P694" i="1"/>
  <c r="A695" i="1"/>
  <c r="B695" i="1"/>
  <c r="D695" i="1"/>
  <c r="E695" i="1"/>
  <c r="F695" i="1"/>
  <c r="G695" i="1"/>
  <c r="H695" i="1"/>
  <c r="I695" i="1"/>
  <c r="J695" i="1"/>
  <c r="K695" i="1"/>
  <c r="L695" i="1"/>
  <c r="M695" i="1"/>
  <c r="O695" i="1"/>
  <c r="P695" i="1"/>
  <c r="A696" i="1"/>
  <c r="B696" i="1"/>
  <c r="D696" i="1"/>
  <c r="E696" i="1"/>
  <c r="F696" i="1"/>
  <c r="G696" i="1"/>
  <c r="H696" i="1"/>
  <c r="I696" i="1"/>
  <c r="J696" i="1"/>
  <c r="K696" i="1"/>
  <c r="L696" i="1"/>
  <c r="M696" i="1"/>
  <c r="O696" i="1"/>
  <c r="P696" i="1"/>
  <c r="A697" i="1"/>
  <c r="B697" i="1"/>
  <c r="D697" i="1"/>
  <c r="E697" i="1"/>
  <c r="F697" i="1"/>
  <c r="G697" i="1"/>
  <c r="H697" i="1"/>
  <c r="I697" i="1"/>
  <c r="J697" i="1"/>
  <c r="K697" i="1"/>
  <c r="L697" i="1"/>
  <c r="M697" i="1"/>
  <c r="O697" i="1"/>
  <c r="P697" i="1"/>
  <c r="A698" i="1"/>
  <c r="B698" i="1"/>
  <c r="D698" i="1"/>
  <c r="E698" i="1"/>
  <c r="F698" i="1"/>
  <c r="G698" i="1"/>
  <c r="H698" i="1"/>
  <c r="I698" i="1"/>
  <c r="J698" i="1"/>
  <c r="K698" i="1"/>
  <c r="L698" i="1"/>
  <c r="M698" i="1"/>
  <c r="O698" i="1"/>
  <c r="P698" i="1"/>
  <c r="A699" i="1"/>
  <c r="B699" i="1"/>
  <c r="D699" i="1"/>
  <c r="E699" i="1"/>
  <c r="F699" i="1"/>
  <c r="G699" i="1"/>
  <c r="H699" i="1"/>
  <c r="I699" i="1"/>
  <c r="J699" i="1"/>
  <c r="K699" i="1"/>
  <c r="L699" i="1"/>
  <c r="M699" i="1"/>
  <c r="O699" i="1"/>
  <c r="P699" i="1"/>
  <c r="A700" i="1"/>
  <c r="B700" i="1"/>
  <c r="D700" i="1"/>
  <c r="E700" i="1"/>
  <c r="F700" i="1"/>
  <c r="G700" i="1"/>
  <c r="H700" i="1"/>
  <c r="I700" i="1"/>
  <c r="J700" i="1"/>
  <c r="K700" i="1"/>
  <c r="L700" i="1"/>
  <c r="M700" i="1"/>
  <c r="O700" i="1"/>
  <c r="P700" i="1"/>
  <c r="A701" i="1"/>
  <c r="B701" i="1"/>
  <c r="D701" i="1"/>
  <c r="E701" i="1"/>
  <c r="F701" i="1"/>
  <c r="G701" i="1"/>
  <c r="H701" i="1"/>
  <c r="I701" i="1"/>
  <c r="J701" i="1"/>
  <c r="K701" i="1"/>
  <c r="L701" i="1"/>
  <c r="M701" i="1"/>
  <c r="O701" i="1"/>
  <c r="P701" i="1"/>
  <c r="A702" i="1"/>
  <c r="B702" i="1"/>
  <c r="D702" i="1"/>
  <c r="E702" i="1"/>
  <c r="F702" i="1"/>
  <c r="G702" i="1"/>
  <c r="H702" i="1"/>
  <c r="I702" i="1"/>
  <c r="J702" i="1"/>
  <c r="K702" i="1"/>
  <c r="L702" i="1"/>
  <c r="M702" i="1"/>
  <c r="O702" i="1"/>
  <c r="P702" i="1"/>
  <c r="A703" i="1"/>
  <c r="B703" i="1"/>
  <c r="D703" i="1"/>
  <c r="E703" i="1"/>
  <c r="F703" i="1"/>
  <c r="G703" i="1"/>
  <c r="H703" i="1"/>
  <c r="I703" i="1"/>
  <c r="J703" i="1"/>
  <c r="K703" i="1"/>
  <c r="L703" i="1"/>
  <c r="M703" i="1"/>
  <c r="O703" i="1"/>
  <c r="P703" i="1"/>
  <c r="A704" i="1"/>
  <c r="B704" i="1"/>
  <c r="D704" i="1"/>
  <c r="E704" i="1"/>
  <c r="F704" i="1"/>
  <c r="G704" i="1"/>
  <c r="H704" i="1"/>
  <c r="I704" i="1"/>
  <c r="J704" i="1"/>
  <c r="K704" i="1"/>
  <c r="L704" i="1"/>
  <c r="M704" i="1"/>
  <c r="O704" i="1"/>
  <c r="P704" i="1"/>
  <c r="A705" i="1"/>
  <c r="B705" i="1"/>
  <c r="D705" i="1"/>
  <c r="E705" i="1"/>
  <c r="F705" i="1"/>
  <c r="G705" i="1"/>
  <c r="H705" i="1"/>
  <c r="I705" i="1"/>
  <c r="J705" i="1"/>
  <c r="K705" i="1"/>
  <c r="L705" i="1"/>
  <c r="M705" i="1"/>
  <c r="O705" i="1"/>
  <c r="P705" i="1"/>
  <c r="A706" i="1"/>
  <c r="B706" i="1"/>
  <c r="D706" i="1"/>
  <c r="E706" i="1"/>
  <c r="F706" i="1"/>
  <c r="G706" i="1"/>
  <c r="H706" i="1"/>
  <c r="I706" i="1"/>
  <c r="J706" i="1"/>
  <c r="K706" i="1"/>
  <c r="L706" i="1"/>
  <c r="M706" i="1"/>
  <c r="O706" i="1"/>
  <c r="P706" i="1"/>
  <c r="A707" i="1"/>
  <c r="B707" i="1"/>
  <c r="D707" i="1"/>
  <c r="E707" i="1"/>
  <c r="F707" i="1"/>
  <c r="G707" i="1"/>
  <c r="H707" i="1"/>
  <c r="I707" i="1"/>
  <c r="J707" i="1"/>
  <c r="K707" i="1"/>
  <c r="L707" i="1"/>
  <c r="M707" i="1"/>
  <c r="O707" i="1"/>
  <c r="P707" i="1"/>
  <c r="A708" i="1"/>
  <c r="B708" i="1"/>
  <c r="D708" i="1"/>
  <c r="E708" i="1"/>
  <c r="F708" i="1"/>
  <c r="G708" i="1"/>
  <c r="H708" i="1"/>
  <c r="I708" i="1"/>
  <c r="J708" i="1"/>
  <c r="K708" i="1"/>
  <c r="L708" i="1"/>
  <c r="M708" i="1"/>
  <c r="O708" i="1"/>
  <c r="P708" i="1"/>
  <c r="A709" i="1"/>
  <c r="B709" i="1"/>
  <c r="D709" i="1"/>
  <c r="E709" i="1"/>
  <c r="F709" i="1"/>
  <c r="G709" i="1"/>
  <c r="H709" i="1"/>
  <c r="I709" i="1"/>
  <c r="J709" i="1"/>
  <c r="K709" i="1"/>
  <c r="L709" i="1"/>
  <c r="M709" i="1"/>
  <c r="O709" i="1"/>
  <c r="P709" i="1"/>
  <c r="A710" i="1"/>
  <c r="B710" i="1"/>
  <c r="D710" i="1"/>
  <c r="E710" i="1"/>
  <c r="F710" i="1"/>
  <c r="G710" i="1"/>
  <c r="H710" i="1"/>
  <c r="I710" i="1"/>
  <c r="J710" i="1"/>
  <c r="K710" i="1"/>
  <c r="L710" i="1"/>
  <c r="M710" i="1"/>
  <c r="O710" i="1"/>
  <c r="P710" i="1"/>
  <c r="A711" i="1"/>
  <c r="B711" i="1"/>
  <c r="D711" i="1"/>
  <c r="E711" i="1"/>
  <c r="F711" i="1"/>
  <c r="G711" i="1"/>
  <c r="H711" i="1"/>
  <c r="I711" i="1"/>
  <c r="J711" i="1"/>
  <c r="K711" i="1"/>
  <c r="L711" i="1"/>
  <c r="M711" i="1"/>
  <c r="O711" i="1"/>
  <c r="P711" i="1"/>
  <c r="A712" i="1"/>
  <c r="B712" i="1"/>
  <c r="D712" i="1"/>
  <c r="E712" i="1"/>
  <c r="F712" i="1"/>
  <c r="G712" i="1"/>
  <c r="H712" i="1"/>
  <c r="I712" i="1"/>
  <c r="J712" i="1"/>
  <c r="K712" i="1"/>
  <c r="L712" i="1"/>
  <c r="M712" i="1"/>
  <c r="O712" i="1"/>
  <c r="P712" i="1"/>
  <c r="A713" i="1"/>
  <c r="B713" i="1"/>
  <c r="D713" i="1"/>
  <c r="E713" i="1"/>
  <c r="F713" i="1"/>
  <c r="G713" i="1"/>
  <c r="H713" i="1"/>
  <c r="I713" i="1"/>
  <c r="J713" i="1"/>
  <c r="K713" i="1"/>
  <c r="L713" i="1"/>
  <c r="M713" i="1"/>
  <c r="O713" i="1"/>
  <c r="P713" i="1"/>
  <c r="A714" i="1"/>
  <c r="B714" i="1"/>
  <c r="D714" i="1"/>
  <c r="E714" i="1"/>
  <c r="F714" i="1"/>
  <c r="G714" i="1"/>
  <c r="H714" i="1"/>
  <c r="I714" i="1"/>
  <c r="J714" i="1"/>
  <c r="K714" i="1"/>
  <c r="L714" i="1"/>
  <c r="M714" i="1"/>
  <c r="O714" i="1"/>
  <c r="P714" i="1"/>
  <c r="A715" i="1"/>
  <c r="B715" i="1"/>
  <c r="D715" i="1"/>
  <c r="E715" i="1"/>
  <c r="F715" i="1"/>
  <c r="G715" i="1"/>
  <c r="H715" i="1"/>
  <c r="I715" i="1"/>
  <c r="J715" i="1"/>
  <c r="K715" i="1"/>
  <c r="L715" i="1"/>
  <c r="M715" i="1"/>
  <c r="O715" i="1"/>
  <c r="P715" i="1"/>
  <c r="A716" i="1"/>
  <c r="B716" i="1"/>
  <c r="D716" i="1"/>
  <c r="E716" i="1"/>
  <c r="F716" i="1"/>
  <c r="G716" i="1"/>
  <c r="H716" i="1"/>
  <c r="I716" i="1"/>
  <c r="J716" i="1"/>
  <c r="K716" i="1"/>
  <c r="L716" i="1"/>
  <c r="M716" i="1"/>
  <c r="O716" i="1"/>
  <c r="P716" i="1"/>
  <c r="A717" i="1"/>
  <c r="B717" i="1"/>
  <c r="D717" i="1"/>
  <c r="E717" i="1"/>
  <c r="F717" i="1"/>
  <c r="G717" i="1"/>
  <c r="H717" i="1"/>
  <c r="I717" i="1"/>
  <c r="J717" i="1"/>
  <c r="K717" i="1"/>
  <c r="L717" i="1"/>
  <c r="M717" i="1"/>
  <c r="O717" i="1"/>
  <c r="P717" i="1"/>
  <c r="A718" i="1"/>
  <c r="B718" i="1"/>
  <c r="D718" i="1"/>
  <c r="E718" i="1"/>
  <c r="F718" i="1"/>
  <c r="G718" i="1"/>
  <c r="H718" i="1"/>
  <c r="I718" i="1"/>
  <c r="J718" i="1"/>
  <c r="K718" i="1"/>
  <c r="L718" i="1"/>
  <c r="M718" i="1"/>
  <c r="O718" i="1"/>
  <c r="P718" i="1"/>
  <c r="A719" i="1"/>
  <c r="B719" i="1"/>
  <c r="D719" i="1"/>
  <c r="E719" i="1"/>
  <c r="F719" i="1"/>
  <c r="G719" i="1"/>
  <c r="H719" i="1"/>
  <c r="I719" i="1"/>
  <c r="J719" i="1"/>
  <c r="K719" i="1"/>
  <c r="L719" i="1"/>
  <c r="M719" i="1"/>
  <c r="O719" i="1"/>
  <c r="P719" i="1"/>
  <c r="A720" i="1"/>
  <c r="B720" i="1"/>
  <c r="D720" i="1"/>
  <c r="E720" i="1"/>
  <c r="F720" i="1"/>
  <c r="G720" i="1"/>
  <c r="H720" i="1"/>
  <c r="I720" i="1"/>
  <c r="J720" i="1"/>
  <c r="K720" i="1"/>
  <c r="L720" i="1"/>
  <c r="M720" i="1"/>
  <c r="O720" i="1"/>
  <c r="P720" i="1"/>
  <c r="A721" i="1"/>
  <c r="B721" i="1"/>
  <c r="D721" i="1"/>
  <c r="E721" i="1"/>
  <c r="F721" i="1"/>
  <c r="G721" i="1"/>
  <c r="H721" i="1"/>
  <c r="I721" i="1"/>
  <c r="J721" i="1"/>
  <c r="K721" i="1"/>
  <c r="L721" i="1"/>
  <c r="M721" i="1"/>
  <c r="O721" i="1"/>
  <c r="P721" i="1"/>
  <c r="A722" i="1"/>
  <c r="B722" i="1"/>
  <c r="D722" i="1"/>
  <c r="E722" i="1"/>
  <c r="F722" i="1"/>
  <c r="G722" i="1"/>
  <c r="H722" i="1"/>
  <c r="I722" i="1"/>
  <c r="J722" i="1"/>
  <c r="K722" i="1"/>
  <c r="L722" i="1"/>
  <c r="M722" i="1"/>
  <c r="O722" i="1"/>
  <c r="P722" i="1"/>
  <c r="A723" i="1"/>
  <c r="B723" i="1"/>
  <c r="D723" i="1"/>
  <c r="E723" i="1"/>
  <c r="F723" i="1"/>
  <c r="G723" i="1"/>
  <c r="H723" i="1"/>
  <c r="I723" i="1"/>
  <c r="J723" i="1"/>
  <c r="K723" i="1"/>
  <c r="L723" i="1"/>
  <c r="M723" i="1"/>
  <c r="O723" i="1"/>
  <c r="P723" i="1"/>
  <c r="A724" i="1"/>
  <c r="B724" i="1"/>
  <c r="D724" i="1"/>
  <c r="E724" i="1"/>
  <c r="F724" i="1"/>
  <c r="G724" i="1"/>
  <c r="H724" i="1"/>
  <c r="I724" i="1"/>
  <c r="J724" i="1"/>
  <c r="K724" i="1"/>
  <c r="L724" i="1"/>
  <c r="M724" i="1"/>
  <c r="O724" i="1"/>
  <c r="P724" i="1"/>
  <c r="A725" i="1"/>
  <c r="B725" i="1"/>
  <c r="D725" i="1"/>
  <c r="E725" i="1"/>
  <c r="F725" i="1"/>
  <c r="G725" i="1"/>
  <c r="H725" i="1"/>
  <c r="I725" i="1"/>
  <c r="J725" i="1"/>
  <c r="K725" i="1"/>
  <c r="L725" i="1"/>
  <c r="M725" i="1"/>
  <c r="O725" i="1"/>
  <c r="P725" i="1"/>
  <c r="A726" i="1"/>
  <c r="B726" i="1"/>
  <c r="D726" i="1"/>
  <c r="E726" i="1"/>
  <c r="F726" i="1"/>
  <c r="G726" i="1"/>
  <c r="H726" i="1"/>
  <c r="I726" i="1"/>
  <c r="J726" i="1"/>
  <c r="K726" i="1"/>
  <c r="L726" i="1"/>
  <c r="M726" i="1"/>
  <c r="O726" i="1"/>
  <c r="P726" i="1"/>
  <c r="A727" i="1"/>
  <c r="B727" i="1"/>
  <c r="D727" i="1"/>
  <c r="E727" i="1"/>
  <c r="F727" i="1"/>
  <c r="G727" i="1"/>
  <c r="H727" i="1"/>
  <c r="I727" i="1"/>
  <c r="J727" i="1"/>
  <c r="K727" i="1"/>
  <c r="L727" i="1"/>
  <c r="M727" i="1"/>
  <c r="O727" i="1"/>
  <c r="P727" i="1"/>
  <c r="A728" i="1"/>
  <c r="B728" i="1"/>
  <c r="D728" i="1"/>
  <c r="E728" i="1"/>
  <c r="F728" i="1"/>
  <c r="G728" i="1"/>
  <c r="H728" i="1"/>
  <c r="I728" i="1"/>
  <c r="J728" i="1"/>
  <c r="K728" i="1"/>
  <c r="L728" i="1"/>
  <c r="M728" i="1"/>
  <c r="O728" i="1"/>
  <c r="P728" i="1"/>
  <c r="A729" i="1"/>
  <c r="B729" i="1"/>
  <c r="D729" i="1"/>
  <c r="E729" i="1"/>
  <c r="F729" i="1"/>
  <c r="G729" i="1"/>
  <c r="H729" i="1"/>
  <c r="I729" i="1"/>
  <c r="J729" i="1"/>
  <c r="K729" i="1"/>
  <c r="L729" i="1"/>
  <c r="M729" i="1"/>
  <c r="O729" i="1"/>
  <c r="P729" i="1"/>
  <c r="A730" i="1"/>
  <c r="B730" i="1"/>
  <c r="D730" i="1"/>
  <c r="E730" i="1"/>
  <c r="F730" i="1"/>
  <c r="G730" i="1"/>
  <c r="H730" i="1"/>
  <c r="I730" i="1"/>
  <c r="J730" i="1"/>
  <c r="K730" i="1"/>
  <c r="L730" i="1"/>
  <c r="M730" i="1"/>
  <c r="O730" i="1"/>
  <c r="P730" i="1"/>
  <c r="A731" i="1"/>
  <c r="B731" i="1"/>
  <c r="D731" i="1"/>
  <c r="E731" i="1"/>
  <c r="F731" i="1"/>
  <c r="G731" i="1"/>
  <c r="H731" i="1"/>
  <c r="I731" i="1"/>
  <c r="J731" i="1"/>
  <c r="K731" i="1"/>
  <c r="L731" i="1"/>
  <c r="M731" i="1"/>
  <c r="O731" i="1"/>
  <c r="P731" i="1"/>
  <c r="A732" i="1"/>
  <c r="B732" i="1"/>
  <c r="D732" i="1"/>
  <c r="E732" i="1"/>
  <c r="F732" i="1"/>
  <c r="G732" i="1"/>
  <c r="H732" i="1"/>
  <c r="I732" i="1"/>
  <c r="J732" i="1"/>
  <c r="K732" i="1"/>
  <c r="L732" i="1"/>
  <c r="M732" i="1"/>
  <c r="O732" i="1"/>
  <c r="P732" i="1"/>
  <c r="A733" i="1"/>
  <c r="B733" i="1"/>
  <c r="D733" i="1"/>
  <c r="E733" i="1"/>
  <c r="F733" i="1"/>
  <c r="G733" i="1"/>
  <c r="H733" i="1"/>
  <c r="I733" i="1"/>
  <c r="J733" i="1"/>
  <c r="K733" i="1"/>
  <c r="L733" i="1"/>
  <c r="M733" i="1"/>
  <c r="O733" i="1"/>
  <c r="P733" i="1"/>
  <c r="A734" i="1"/>
  <c r="B734" i="1"/>
  <c r="D734" i="1"/>
  <c r="E734" i="1"/>
  <c r="F734" i="1"/>
  <c r="G734" i="1"/>
  <c r="H734" i="1"/>
  <c r="I734" i="1"/>
  <c r="J734" i="1"/>
  <c r="K734" i="1"/>
  <c r="L734" i="1"/>
  <c r="M734" i="1"/>
  <c r="O734" i="1"/>
  <c r="P734" i="1"/>
  <c r="A735" i="1"/>
  <c r="B735" i="1"/>
  <c r="D735" i="1"/>
  <c r="E735" i="1"/>
  <c r="F735" i="1"/>
  <c r="G735" i="1"/>
  <c r="H735" i="1"/>
  <c r="I735" i="1"/>
  <c r="J735" i="1"/>
  <c r="K735" i="1"/>
  <c r="L735" i="1"/>
  <c r="M735" i="1"/>
  <c r="O735" i="1"/>
  <c r="P735" i="1"/>
  <c r="A736" i="1"/>
  <c r="B736" i="1"/>
  <c r="D736" i="1"/>
  <c r="E736" i="1"/>
  <c r="F736" i="1"/>
  <c r="G736" i="1"/>
  <c r="H736" i="1"/>
  <c r="I736" i="1"/>
  <c r="J736" i="1"/>
  <c r="K736" i="1"/>
  <c r="L736" i="1"/>
  <c r="M736" i="1"/>
  <c r="O736" i="1"/>
  <c r="P736" i="1"/>
  <c r="A737" i="1"/>
  <c r="B737" i="1"/>
  <c r="D737" i="1"/>
  <c r="E737" i="1"/>
  <c r="F737" i="1"/>
  <c r="G737" i="1"/>
  <c r="H737" i="1"/>
  <c r="I737" i="1"/>
  <c r="J737" i="1"/>
  <c r="K737" i="1"/>
  <c r="L737" i="1"/>
  <c r="M737" i="1"/>
  <c r="O737" i="1"/>
  <c r="P737" i="1"/>
  <c r="A738" i="1"/>
  <c r="B738" i="1"/>
  <c r="D738" i="1"/>
  <c r="E738" i="1"/>
  <c r="F738" i="1"/>
  <c r="G738" i="1"/>
  <c r="H738" i="1"/>
  <c r="I738" i="1"/>
  <c r="J738" i="1"/>
  <c r="K738" i="1"/>
  <c r="L738" i="1"/>
  <c r="M738" i="1"/>
  <c r="O738" i="1"/>
  <c r="P738" i="1"/>
  <c r="A739" i="1"/>
  <c r="B739" i="1"/>
  <c r="D739" i="1"/>
  <c r="E739" i="1"/>
  <c r="F739" i="1"/>
  <c r="G739" i="1"/>
  <c r="H739" i="1"/>
  <c r="I739" i="1"/>
  <c r="J739" i="1"/>
  <c r="K739" i="1"/>
  <c r="L739" i="1"/>
  <c r="M739" i="1"/>
  <c r="O739" i="1"/>
  <c r="P739" i="1"/>
  <c r="A740" i="1"/>
  <c r="B740" i="1"/>
  <c r="D740" i="1"/>
  <c r="E740" i="1"/>
  <c r="F740" i="1"/>
  <c r="G740" i="1"/>
  <c r="H740" i="1"/>
  <c r="I740" i="1"/>
  <c r="J740" i="1"/>
  <c r="K740" i="1"/>
  <c r="L740" i="1"/>
  <c r="M740" i="1"/>
  <c r="O740" i="1"/>
  <c r="P740" i="1"/>
  <c r="A741" i="1"/>
  <c r="B741" i="1"/>
  <c r="D741" i="1"/>
  <c r="E741" i="1"/>
  <c r="F741" i="1"/>
  <c r="G741" i="1"/>
  <c r="H741" i="1"/>
  <c r="I741" i="1"/>
  <c r="J741" i="1"/>
  <c r="K741" i="1"/>
  <c r="L741" i="1"/>
  <c r="M741" i="1"/>
  <c r="O741" i="1"/>
  <c r="P741" i="1"/>
  <c r="A742" i="1"/>
  <c r="B742" i="1"/>
  <c r="D742" i="1"/>
  <c r="E742" i="1"/>
  <c r="F742" i="1"/>
  <c r="G742" i="1"/>
  <c r="H742" i="1"/>
  <c r="I742" i="1"/>
  <c r="J742" i="1"/>
  <c r="K742" i="1"/>
  <c r="L742" i="1"/>
  <c r="M742" i="1"/>
  <c r="O742" i="1"/>
  <c r="P742" i="1"/>
  <c r="A743" i="1"/>
  <c r="B743" i="1"/>
  <c r="D743" i="1"/>
  <c r="E743" i="1"/>
  <c r="F743" i="1"/>
  <c r="G743" i="1"/>
  <c r="H743" i="1"/>
  <c r="I743" i="1"/>
  <c r="J743" i="1"/>
  <c r="K743" i="1"/>
  <c r="L743" i="1"/>
  <c r="M743" i="1"/>
  <c r="O743" i="1"/>
  <c r="P743" i="1"/>
  <c r="A744" i="1"/>
  <c r="B744" i="1"/>
  <c r="D744" i="1"/>
  <c r="E744" i="1"/>
  <c r="F744" i="1"/>
  <c r="G744" i="1"/>
  <c r="H744" i="1"/>
  <c r="I744" i="1"/>
  <c r="J744" i="1"/>
  <c r="K744" i="1"/>
  <c r="L744" i="1"/>
  <c r="M744" i="1"/>
  <c r="O744" i="1"/>
  <c r="P744" i="1"/>
  <c r="A745" i="1"/>
  <c r="B745" i="1"/>
  <c r="D745" i="1"/>
  <c r="E745" i="1"/>
  <c r="F745" i="1"/>
  <c r="G745" i="1"/>
  <c r="H745" i="1"/>
  <c r="I745" i="1"/>
  <c r="J745" i="1"/>
  <c r="K745" i="1"/>
  <c r="L745" i="1"/>
  <c r="M745" i="1"/>
  <c r="O745" i="1"/>
  <c r="P745" i="1"/>
  <c r="A746" i="1"/>
  <c r="B746" i="1"/>
  <c r="D746" i="1"/>
  <c r="E746" i="1"/>
  <c r="F746" i="1"/>
  <c r="G746" i="1"/>
  <c r="H746" i="1"/>
  <c r="I746" i="1"/>
  <c r="J746" i="1"/>
  <c r="K746" i="1"/>
  <c r="L746" i="1"/>
  <c r="M746" i="1"/>
  <c r="O746" i="1"/>
  <c r="P746" i="1"/>
  <c r="A747" i="1"/>
  <c r="B747" i="1"/>
  <c r="D747" i="1"/>
  <c r="E747" i="1"/>
  <c r="F747" i="1"/>
  <c r="G747" i="1"/>
  <c r="H747" i="1"/>
  <c r="I747" i="1"/>
  <c r="J747" i="1"/>
  <c r="K747" i="1"/>
  <c r="L747" i="1"/>
  <c r="M747" i="1"/>
  <c r="O747" i="1"/>
  <c r="P747" i="1"/>
  <c r="A748" i="1"/>
  <c r="B748" i="1"/>
  <c r="D748" i="1"/>
  <c r="E748" i="1"/>
  <c r="F748" i="1"/>
  <c r="G748" i="1"/>
  <c r="H748" i="1"/>
  <c r="I748" i="1"/>
  <c r="J748" i="1"/>
  <c r="K748" i="1"/>
  <c r="L748" i="1"/>
  <c r="M748" i="1"/>
  <c r="O748" i="1"/>
  <c r="P748" i="1"/>
  <c r="A749" i="1"/>
  <c r="B749" i="1"/>
  <c r="D749" i="1"/>
  <c r="E749" i="1"/>
  <c r="F749" i="1"/>
  <c r="G749" i="1"/>
  <c r="H749" i="1"/>
  <c r="I749" i="1"/>
  <c r="J749" i="1"/>
  <c r="K749" i="1"/>
  <c r="L749" i="1"/>
  <c r="M749" i="1"/>
  <c r="O749" i="1"/>
  <c r="P749" i="1"/>
  <c r="A750" i="1"/>
  <c r="B750" i="1"/>
  <c r="D750" i="1"/>
  <c r="E750" i="1"/>
  <c r="F750" i="1"/>
  <c r="G750" i="1"/>
  <c r="H750" i="1"/>
  <c r="I750" i="1"/>
  <c r="J750" i="1"/>
  <c r="K750" i="1"/>
  <c r="L750" i="1"/>
  <c r="M750" i="1"/>
  <c r="O750" i="1"/>
  <c r="P750" i="1"/>
  <c r="A751" i="1"/>
  <c r="B751" i="1"/>
  <c r="D751" i="1"/>
  <c r="E751" i="1"/>
  <c r="F751" i="1"/>
  <c r="G751" i="1"/>
  <c r="H751" i="1"/>
  <c r="I751" i="1"/>
  <c r="J751" i="1"/>
  <c r="K751" i="1"/>
  <c r="L751" i="1"/>
  <c r="M751" i="1"/>
  <c r="O751" i="1"/>
  <c r="P751" i="1"/>
  <c r="A752" i="1"/>
  <c r="B752" i="1"/>
  <c r="D752" i="1"/>
  <c r="E752" i="1"/>
  <c r="F752" i="1"/>
  <c r="G752" i="1"/>
  <c r="H752" i="1"/>
  <c r="I752" i="1"/>
  <c r="J752" i="1"/>
  <c r="K752" i="1"/>
  <c r="L752" i="1"/>
  <c r="M752" i="1"/>
  <c r="O752" i="1"/>
  <c r="P752" i="1"/>
  <c r="A753" i="1"/>
  <c r="B753" i="1"/>
  <c r="D753" i="1"/>
  <c r="E753" i="1"/>
  <c r="F753" i="1"/>
  <c r="G753" i="1"/>
  <c r="H753" i="1"/>
  <c r="I753" i="1"/>
  <c r="J753" i="1"/>
  <c r="K753" i="1"/>
  <c r="L753" i="1"/>
  <c r="M753" i="1"/>
  <c r="O753" i="1"/>
  <c r="P753" i="1"/>
  <c r="A754" i="1"/>
  <c r="B754" i="1"/>
  <c r="D754" i="1"/>
  <c r="E754" i="1"/>
  <c r="F754" i="1"/>
  <c r="G754" i="1"/>
  <c r="H754" i="1"/>
  <c r="I754" i="1"/>
  <c r="J754" i="1"/>
  <c r="K754" i="1"/>
  <c r="L754" i="1"/>
  <c r="M754" i="1"/>
  <c r="O754" i="1"/>
  <c r="P754" i="1"/>
  <c r="A755" i="1"/>
  <c r="B755" i="1"/>
  <c r="D755" i="1"/>
  <c r="E755" i="1"/>
  <c r="F755" i="1"/>
  <c r="G755" i="1"/>
  <c r="H755" i="1"/>
  <c r="I755" i="1"/>
  <c r="J755" i="1"/>
  <c r="K755" i="1"/>
  <c r="L755" i="1"/>
  <c r="M755" i="1"/>
  <c r="O755" i="1"/>
  <c r="P755" i="1"/>
  <c r="A756" i="1"/>
  <c r="B756" i="1"/>
  <c r="D756" i="1"/>
  <c r="E756" i="1"/>
  <c r="F756" i="1"/>
  <c r="G756" i="1"/>
  <c r="H756" i="1"/>
  <c r="I756" i="1"/>
  <c r="J756" i="1"/>
  <c r="K756" i="1"/>
  <c r="L756" i="1"/>
  <c r="M756" i="1"/>
  <c r="O756" i="1"/>
  <c r="P756" i="1"/>
  <c r="A757" i="1"/>
  <c r="B757" i="1"/>
  <c r="D757" i="1"/>
  <c r="E757" i="1"/>
  <c r="F757" i="1"/>
  <c r="G757" i="1"/>
  <c r="H757" i="1"/>
  <c r="I757" i="1"/>
  <c r="J757" i="1"/>
  <c r="K757" i="1"/>
  <c r="L757" i="1"/>
  <c r="M757" i="1"/>
  <c r="O757" i="1"/>
  <c r="P757" i="1"/>
  <c r="A758" i="1"/>
  <c r="B758" i="1"/>
  <c r="D758" i="1"/>
  <c r="E758" i="1"/>
  <c r="F758" i="1"/>
  <c r="G758" i="1"/>
  <c r="H758" i="1"/>
  <c r="I758" i="1"/>
  <c r="J758" i="1"/>
  <c r="K758" i="1"/>
  <c r="L758" i="1"/>
  <c r="M758" i="1"/>
  <c r="O758" i="1"/>
  <c r="P758" i="1"/>
  <c r="A759" i="1"/>
  <c r="B759" i="1"/>
  <c r="D759" i="1"/>
  <c r="E759" i="1"/>
  <c r="F759" i="1"/>
  <c r="G759" i="1"/>
  <c r="H759" i="1"/>
  <c r="I759" i="1"/>
  <c r="J759" i="1"/>
  <c r="K759" i="1"/>
  <c r="L759" i="1"/>
  <c r="M759" i="1"/>
  <c r="O759" i="1"/>
  <c r="P759" i="1"/>
  <c r="A760" i="1"/>
  <c r="B760" i="1"/>
  <c r="D760" i="1"/>
  <c r="E760" i="1"/>
  <c r="F760" i="1"/>
  <c r="G760" i="1"/>
  <c r="H760" i="1"/>
  <c r="I760" i="1"/>
  <c r="J760" i="1"/>
  <c r="K760" i="1"/>
  <c r="L760" i="1"/>
  <c r="M760" i="1"/>
  <c r="O760" i="1"/>
  <c r="P760" i="1"/>
  <c r="A761" i="1"/>
  <c r="B761" i="1"/>
  <c r="D761" i="1"/>
  <c r="E761" i="1"/>
  <c r="F761" i="1"/>
  <c r="G761" i="1"/>
  <c r="H761" i="1"/>
  <c r="I761" i="1"/>
  <c r="J761" i="1"/>
  <c r="K761" i="1"/>
  <c r="L761" i="1"/>
  <c r="M761" i="1"/>
  <c r="O761" i="1"/>
  <c r="P761" i="1"/>
  <c r="A762" i="1"/>
  <c r="B762" i="1"/>
  <c r="D762" i="1"/>
  <c r="E762" i="1"/>
  <c r="F762" i="1"/>
  <c r="G762" i="1"/>
  <c r="H762" i="1"/>
  <c r="I762" i="1"/>
  <c r="J762" i="1"/>
  <c r="K762" i="1"/>
  <c r="L762" i="1"/>
  <c r="M762" i="1"/>
  <c r="O762" i="1"/>
  <c r="P762" i="1"/>
  <c r="A763" i="1"/>
  <c r="B763" i="1"/>
  <c r="D763" i="1"/>
  <c r="E763" i="1"/>
  <c r="F763" i="1"/>
  <c r="G763" i="1"/>
  <c r="H763" i="1"/>
  <c r="I763" i="1"/>
  <c r="J763" i="1"/>
  <c r="K763" i="1"/>
  <c r="L763" i="1"/>
  <c r="M763" i="1"/>
  <c r="O763" i="1"/>
  <c r="P763" i="1"/>
  <c r="A764" i="1"/>
  <c r="B764" i="1"/>
  <c r="D764" i="1"/>
  <c r="E764" i="1"/>
  <c r="F764" i="1"/>
  <c r="G764" i="1"/>
  <c r="H764" i="1"/>
  <c r="I764" i="1"/>
  <c r="J764" i="1"/>
  <c r="K764" i="1"/>
  <c r="L764" i="1"/>
  <c r="M764" i="1"/>
  <c r="O764" i="1"/>
  <c r="P764" i="1"/>
  <c r="A765" i="1"/>
  <c r="B765" i="1"/>
  <c r="D765" i="1"/>
  <c r="E765" i="1"/>
  <c r="F765" i="1"/>
  <c r="G765" i="1"/>
  <c r="H765" i="1"/>
  <c r="I765" i="1"/>
  <c r="J765" i="1"/>
  <c r="K765" i="1"/>
  <c r="L765" i="1"/>
  <c r="M765" i="1"/>
  <c r="O765" i="1"/>
  <c r="P765" i="1"/>
  <c r="A766" i="1"/>
  <c r="B766" i="1"/>
  <c r="D766" i="1"/>
  <c r="E766" i="1"/>
  <c r="F766" i="1"/>
  <c r="G766" i="1"/>
  <c r="H766" i="1"/>
  <c r="I766" i="1"/>
  <c r="J766" i="1"/>
  <c r="K766" i="1"/>
  <c r="L766" i="1"/>
  <c r="M766" i="1"/>
  <c r="O766" i="1"/>
  <c r="P766" i="1"/>
  <c r="A767" i="1"/>
  <c r="B767" i="1"/>
  <c r="D767" i="1"/>
  <c r="E767" i="1"/>
  <c r="F767" i="1"/>
  <c r="G767" i="1"/>
  <c r="H767" i="1"/>
  <c r="I767" i="1"/>
  <c r="J767" i="1"/>
  <c r="K767" i="1"/>
  <c r="L767" i="1"/>
  <c r="M767" i="1"/>
  <c r="O767" i="1"/>
  <c r="P767" i="1"/>
  <c r="A768" i="1"/>
  <c r="B768" i="1"/>
  <c r="D768" i="1"/>
  <c r="E768" i="1"/>
  <c r="F768" i="1"/>
  <c r="G768" i="1"/>
  <c r="H768" i="1"/>
  <c r="I768" i="1"/>
  <c r="J768" i="1"/>
  <c r="K768" i="1"/>
  <c r="L768" i="1"/>
  <c r="M768" i="1"/>
  <c r="O768" i="1"/>
  <c r="P768" i="1"/>
  <c r="A769" i="1"/>
  <c r="B769" i="1"/>
  <c r="D769" i="1"/>
  <c r="E769" i="1"/>
  <c r="F769" i="1"/>
  <c r="G769" i="1"/>
  <c r="H769" i="1"/>
  <c r="I769" i="1"/>
  <c r="J769" i="1"/>
  <c r="K769" i="1"/>
  <c r="L769" i="1"/>
  <c r="M769" i="1"/>
  <c r="O769" i="1"/>
  <c r="P769" i="1"/>
  <c r="A770" i="1"/>
  <c r="B770" i="1"/>
  <c r="D770" i="1"/>
  <c r="E770" i="1"/>
  <c r="F770" i="1"/>
  <c r="G770" i="1"/>
  <c r="H770" i="1"/>
  <c r="I770" i="1"/>
  <c r="J770" i="1"/>
  <c r="K770" i="1"/>
  <c r="L770" i="1"/>
  <c r="M770" i="1"/>
  <c r="O770" i="1"/>
  <c r="P770" i="1"/>
  <c r="A771" i="1"/>
  <c r="B771" i="1"/>
  <c r="D771" i="1"/>
  <c r="E771" i="1"/>
  <c r="F771" i="1"/>
  <c r="G771" i="1"/>
  <c r="H771" i="1"/>
  <c r="I771" i="1"/>
  <c r="J771" i="1"/>
  <c r="K771" i="1"/>
  <c r="L771" i="1"/>
  <c r="M771" i="1"/>
  <c r="O771" i="1"/>
  <c r="P771" i="1"/>
  <c r="A772" i="1"/>
  <c r="B772" i="1"/>
  <c r="D772" i="1"/>
  <c r="E772" i="1"/>
  <c r="F772" i="1"/>
  <c r="G772" i="1"/>
  <c r="H772" i="1"/>
  <c r="I772" i="1"/>
  <c r="J772" i="1"/>
  <c r="K772" i="1"/>
  <c r="L772" i="1"/>
  <c r="M772" i="1"/>
  <c r="O772" i="1"/>
  <c r="P772" i="1"/>
  <c r="A773" i="1"/>
  <c r="B773" i="1"/>
  <c r="D773" i="1"/>
  <c r="E773" i="1"/>
  <c r="F773" i="1"/>
  <c r="G773" i="1"/>
  <c r="H773" i="1"/>
  <c r="I773" i="1"/>
  <c r="J773" i="1"/>
  <c r="K773" i="1"/>
  <c r="L773" i="1"/>
  <c r="M773" i="1"/>
  <c r="O773" i="1"/>
  <c r="P773" i="1"/>
  <c r="A774" i="1"/>
  <c r="B774" i="1"/>
  <c r="D774" i="1"/>
  <c r="E774" i="1"/>
  <c r="F774" i="1"/>
  <c r="G774" i="1"/>
  <c r="H774" i="1"/>
  <c r="I774" i="1"/>
  <c r="J774" i="1"/>
  <c r="K774" i="1"/>
  <c r="L774" i="1"/>
  <c r="M774" i="1"/>
  <c r="O774" i="1"/>
  <c r="P774" i="1"/>
  <c r="A775" i="1"/>
  <c r="B775" i="1"/>
  <c r="D775" i="1"/>
  <c r="E775" i="1"/>
  <c r="F775" i="1"/>
  <c r="G775" i="1"/>
  <c r="H775" i="1"/>
  <c r="I775" i="1"/>
  <c r="J775" i="1"/>
  <c r="K775" i="1"/>
  <c r="L775" i="1"/>
  <c r="M775" i="1"/>
  <c r="O775" i="1"/>
  <c r="P775" i="1"/>
  <c r="A776" i="1"/>
  <c r="B776" i="1"/>
  <c r="D776" i="1"/>
  <c r="E776" i="1"/>
  <c r="F776" i="1"/>
  <c r="G776" i="1"/>
  <c r="H776" i="1"/>
  <c r="I776" i="1"/>
  <c r="J776" i="1"/>
  <c r="K776" i="1"/>
  <c r="L776" i="1"/>
  <c r="M776" i="1"/>
  <c r="O776" i="1"/>
  <c r="P776" i="1"/>
  <c r="A777" i="1"/>
  <c r="B777" i="1"/>
  <c r="D777" i="1"/>
  <c r="E777" i="1"/>
  <c r="F777" i="1"/>
  <c r="G777" i="1"/>
  <c r="H777" i="1"/>
  <c r="I777" i="1"/>
  <c r="J777" i="1"/>
  <c r="K777" i="1"/>
  <c r="L777" i="1"/>
  <c r="M777" i="1"/>
  <c r="O777" i="1"/>
  <c r="P777" i="1"/>
  <c r="A778" i="1"/>
  <c r="B778" i="1"/>
  <c r="D778" i="1"/>
  <c r="E778" i="1"/>
  <c r="F778" i="1"/>
  <c r="G778" i="1"/>
  <c r="H778" i="1"/>
  <c r="I778" i="1"/>
  <c r="J778" i="1"/>
  <c r="K778" i="1"/>
  <c r="L778" i="1"/>
  <c r="M778" i="1"/>
  <c r="O778" i="1"/>
  <c r="P778" i="1"/>
  <c r="A779" i="1"/>
  <c r="B779" i="1"/>
  <c r="D779" i="1"/>
  <c r="E779" i="1"/>
  <c r="F779" i="1"/>
  <c r="G779" i="1"/>
  <c r="H779" i="1"/>
  <c r="I779" i="1"/>
  <c r="J779" i="1"/>
  <c r="K779" i="1"/>
  <c r="L779" i="1"/>
  <c r="M779" i="1"/>
  <c r="O779" i="1"/>
  <c r="P779" i="1"/>
  <c r="A780" i="1"/>
  <c r="B780" i="1"/>
  <c r="D780" i="1"/>
  <c r="E780" i="1"/>
  <c r="F780" i="1"/>
  <c r="G780" i="1"/>
  <c r="H780" i="1"/>
  <c r="I780" i="1"/>
  <c r="J780" i="1"/>
  <c r="K780" i="1"/>
  <c r="L780" i="1"/>
  <c r="M780" i="1"/>
  <c r="O780" i="1"/>
  <c r="P780" i="1"/>
  <c r="A781" i="1"/>
  <c r="B781" i="1"/>
  <c r="D781" i="1"/>
  <c r="E781" i="1"/>
  <c r="F781" i="1"/>
  <c r="G781" i="1"/>
  <c r="H781" i="1"/>
  <c r="I781" i="1"/>
  <c r="J781" i="1"/>
  <c r="K781" i="1"/>
  <c r="L781" i="1"/>
  <c r="M781" i="1"/>
  <c r="O781" i="1"/>
  <c r="P781" i="1"/>
  <c r="A782" i="1"/>
  <c r="B782" i="1"/>
  <c r="D782" i="1"/>
  <c r="E782" i="1"/>
  <c r="F782" i="1"/>
  <c r="G782" i="1"/>
  <c r="H782" i="1"/>
  <c r="I782" i="1"/>
  <c r="J782" i="1"/>
  <c r="K782" i="1"/>
  <c r="L782" i="1"/>
  <c r="M782" i="1"/>
  <c r="O782" i="1"/>
  <c r="P782" i="1"/>
  <c r="A783" i="1"/>
  <c r="B783" i="1"/>
  <c r="D783" i="1"/>
  <c r="E783" i="1"/>
  <c r="F783" i="1"/>
  <c r="G783" i="1"/>
  <c r="H783" i="1"/>
  <c r="I783" i="1"/>
  <c r="J783" i="1"/>
  <c r="K783" i="1"/>
  <c r="L783" i="1"/>
  <c r="M783" i="1"/>
  <c r="O783" i="1"/>
  <c r="P783" i="1"/>
  <c r="A784" i="1"/>
  <c r="B784" i="1"/>
  <c r="D784" i="1"/>
  <c r="E784" i="1"/>
  <c r="F784" i="1"/>
  <c r="G784" i="1"/>
  <c r="H784" i="1"/>
  <c r="I784" i="1"/>
  <c r="J784" i="1"/>
  <c r="K784" i="1"/>
  <c r="L784" i="1"/>
  <c r="M784" i="1"/>
  <c r="O784" i="1"/>
  <c r="P784" i="1"/>
  <c r="A785" i="1"/>
  <c r="B785" i="1"/>
  <c r="D785" i="1"/>
  <c r="E785" i="1"/>
  <c r="F785" i="1"/>
  <c r="G785" i="1"/>
  <c r="H785" i="1"/>
  <c r="I785" i="1"/>
  <c r="J785" i="1"/>
  <c r="K785" i="1"/>
  <c r="L785" i="1"/>
  <c r="M785" i="1"/>
  <c r="O785" i="1"/>
  <c r="P785" i="1"/>
  <c r="A786" i="1"/>
  <c r="B786" i="1"/>
  <c r="D786" i="1"/>
  <c r="E786" i="1"/>
  <c r="F786" i="1"/>
  <c r="G786" i="1"/>
  <c r="H786" i="1"/>
  <c r="I786" i="1"/>
  <c r="J786" i="1"/>
  <c r="K786" i="1"/>
  <c r="L786" i="1"/>
  <c r="M786" i="1"/>
  <c r="O786" i="1"/>
  <c r="P786" i="1"/>
  <c r="A787" i="1"/>
  <c r="B787" i="1"/>
  <c r="D787" i="1"/>
  <c r="E787" i="1"/>
  <c r="F787" i="1"/>
  <c r="G787" i="1"/>
  <c r="H787" i="1"/>
  <c r="I787" i="1"/>
  <c r="J787" i="1"/>
  <c r="K787" i="1"/>
  <c r="L787" i="1"/>
  <c r="M787" i="1"/>
  <c r="O787" i="1"/>
  <c r="P787" i="1"/>
  <c r="A788" i="1"/>
  <c r="B788" i="1"/>
  <c r="D788" i="1"/>
  <c r="E788" i="1"/>
  <c r="F788" i="1"/>
  <c r="G788" i="1"/>
  <c r="H788" i="1"/>
  <c r="I788" i="1"/>
  <c r="J788" i="1"/>
  <c r="K788" i="1"/>
  <c r="L788" i="1"/>
  <c r="M788" i="1"/>
  <c r="O788" i="1"/>
  <c r="P788" i="1"/>
  <c r="A789" i="1"/>
  <c r="B789" i="1"/>
  <c r="D789" i="1"/>
  <c r="E789" i="1"/>
  <c r="F789" i="1"/>
  <c r="G789" i="1"/>
  <c r="H789" i="1"/>
  <c r="I789" i="1"/>
  <c r="J789" i="1"/>
  <c r="K789" i="1"/>
  <c r="L789" i="1"/>
  <c r="M789" i="1"/>
  <c r="O789" i="1"/>
  <c r="P789" i="1"/>
  <c r="A790" i="1"/>
  <c r="B790" i="1"/>
  <c r="D790" i="1"/>
  <c r="E790" i="1"/>
  <c r="F790" i="1"/>
  <c r="G790" i="1"/>
  <c r="H790" i="1"/>
  <c r="I790" i="1"/>
  <c r="J790" i="1"/>
  <c r="K790" i="1"/>
  <c r="L790" i="1"/>
  <c r="M790" i="1"/>
  <c r="O790" i="1"/>
  <c r="P790" i="1"/>
  <c r="A791" i="1"/>
  <c r="B791" i="1"/>
  <c r="D791" i="1"/>
  <c r="E791" i="1"/>
  <c r="F791" i="1"/>
  <c r="G791" i="1"/>
  <c r="H791" i="1"/>
  <c r="I791" i="1"/>
  <c r="J791" i="1"/>
  <c r="K791" i="1"/>
  <c r="L791" i="1"/>
  <c r="M791" i="1"/>
  <c r="O791" i="1"/>
  <c r="P791" i="1"/>
  <c r="A792" i="1"/>
  <c r="B792" i="1"/>
  <c r="D792" i="1"/>
  <c r="E792" i="1"/>
  <c r="F792" i="1"/>
  <c r="G792" i="1"/>
  <c r="H792" i="1"/>
  <c r="I792" i="1"/>
  <c r="J792" i="1"/>
  <c r="K792" i="1"/>
  <c r="L792" i="1"/>
  <c r="M792" i="1"/>
  <c r="O792" i="1"/>
  <c r="P792" i="1"/>
  <c r="A793" i="1"/>
  <c r="B793" i="1"/>
  <c r="D793" i="1"/>
  <c r="E793" i="1"/>
  <c r="F793" i="1"/>
  <c r="G793" i="1"/>
  <c r="H793" i="1"/>
  <c r="I793" i="1"/>
  <c r="J793" i="1"/>
  <c r="K793" i="1"/>
  <c r="L793" i="1"/>
  <c r="M793" i="1"/>
  <c r="O793" i="1"/>
  <c r="P793" i="1"/>
  <c r="A794" i="1"/>
  <c r="B794" i="1"/>
  <c r="D794" i="1"/>
  <c r="E794" i="1"/>
  <c r="F794" i="1"/>
  <c r="G794" i="1"/>
  <c r="H794" i="1"/>
  <c r="I794" i="1"/>
  <c r="J794" i="1"/>
  <c r="K794" i="1"/>
  <c r="L794" i="1"/>
  <c r="M794" i="1"/>
  <c r="O794" i="1"/>
  <c r="P794" i="1"/>
  <c r="A795" i="1"/>
  <c r="B795" i="1"/>
  <c r="D795" i="1"/>
  <c r="E795" i="1"/>
  <c r="F795" i="1"/>
  <c r="G795" i="1"/>
  <c r="H795" i="1"/>
  <c r="I795" i="1"/>
  <c r="J795" i="1"/>
  <c r="K795" i="1"/>
  <c r="L795" i="1"/>
  <c r="M795" i="1"/>
  <c r="O795" i="1"/>
  <c r="P795" i="1"/>
  <c r="A796" i="1"/>
  <c r="B796" i="1"/>
  <c r="D796" i="1"/>
  <c r="E796" i="1"/>
  <c r="F796" i="1"/>
  <c r="G796" i="1"/>
  <c r="H796" i="1"/>
  <c r="I796" i="1"/>
  <c r="J796" i="1"/>
  <c r="K796" i="1"/>
  <c r="L796" i="1"/>
  <c r="M796" i="1"/>
  <c r="O796" i="1"/>
  <c r="P796" i="1"/>
  <c r="A797" i="1"/>
  <c r="B797" i="1"/>
  <c r="D797" i="1"/>
  <c r="E797" i="1"/>
  <c r="F797" i="1"/>
  <c r="G797" i="1"/>
  <c r="H797" i="1"/>
  <c r="I797" i="1"/>
  <c r="J797" i="1"/>
  <c r="K797" i="1"/>
  <c r="L797" i="1"/>
  <c r="M797" i="1"/>
  <c r="O797" i="1"/>
  <c r="P797" i="1"/>
  <c r="A798" i="1"/>
  <c r="B798" i="1"/>
  <c r="D798" i="1"/>
  <c r="E798" i="1"/>
  <c r="F798" i="1"/>
  <c r="G798" i="1"/>
  <c r="H798" i="1"/>
  <c r="I798" i="1"/>
  <c r="J798" i="1"/>
  <c r="K798" i="1"/>
  <c r="L798" i="1"/>
  <c r="M798" i="1"/>
  <c r="O798" i="1"/>
  <c r="P798" i="1"/>
  <c r="A799" i="1"/>
  <c r="B799" i="1"/>
  <c r="D799" i="1"/>
  <c r="E799" i="1"/>
  <c r="F799" i="1"/>
  <c r="G799" i="1"/>
  <c r="H799" i="1"/>
  <c r="I799" i="1"/>
  <c r="J799" i="1"/>
  <c r="K799" i="1"/>
  <c r="L799" i="1"/>
  <c r="M799" i="1"/>
  <c r="O799" i="1"/>
  <c r="P799" i="1"/>
  <c r="A800" i="1"/>
  <c r="B800" i="1"/>
  <c r="D800" i="1"/>
  <c r="E800" i="1"/>
  <c r="F800" i="1"/>
  <c r="G800" i="1"/>
  <c r="H800" i="1"/>
  <c r="I800" i="1"/>
  <c r="J800" i="1"/>
  <c r="K800" i="1"/>
  <c r="L800" i="1"/>
  <c r="M800" i="1"/>
  <c r="O800" i="1"/>
  <c r="P800" i="1"/>
  <c r="A801" i="1"/>
  <c r="B801" i="1"/>
  <c r="D801" i="1"/>
  <c r="E801" i="1"/>
  <c r="F801" i="1"/>
  <c r="G801" i="1"/>
  <c r="H801" i="1"/>
  <c r="I801" i="1"/>
  <c r="J801" i="1"/>
  <c r="K801" i="1"/>
  <c r="L801" i="1"/>
  <c r="M801" i="1"/>
  <c r="O801" i="1"/>
  <c r="P801" i="1"/>
  <c r="A802" i="1"/>
  <c r="B802" i="1"/>
  <c r="D802" i="1"/>
  <c r="E802" i="1"/>
  <c r="F802" i="1"/>
  <c r="G802" i="1"/>
  <c r="H802" i="1"/>
  <c r="I802" i="1"/>
  <c r="J802" i="1"/>
  <c r="K802" i="1"/>
  <c r="L802" i="1"/>
  <c r="M802" i="1"/>
  <c r="O802" i="1"/>
  <c r="P802" i="1"/>
  <c r="A803" i="1"/>
  <c r="B803" i="1"/>
  <c r="D803" i="1"/>
  <c r="E803" i="1"/>
  <c r="F803" i="1"/>
  <c r="G803" i="1"/>
  <c r="H803" i="1"/>
  <c r="I803" i="1"/>
  <c r="J803" i="1"/>
  <c r="K803" i="1"/>
  <c r="L803" i="1"/>
  <c r="M803" i="1"/>
  <c r="O803" i="1"/>
  <c r="P803" i="1"/>
  <c r="A804" i="1"/>
  <c r="B804" i="1"/>
  <c r="D804" i="1"/>
  <c r="E804" i="1"/>
  <c r="F804" i="1"/>
  <c r="G804" i="1"/>
  <c r="H804" i="1"/>
  <c r="I804" i="1"/>
  <c r="J804" i="1"/>
  <c r="K804" i="1"/>
  <c r="L804" i="1"/>
  <c r="M804" i="1"/>
  <c r="O804" i="1"/>
  <c r="P804" i="1"/>
  <c r="A805" i="1"/>
  <c r="B805" i="1"/>
  <c r="D805" i="1"/>
  <c r="E805" i="1"/>
  <c r="F805" i="1"/>
  <c r="G805" i="1"/>
  <c r="H805" i="1"/>
  <c r="I805" i="1"/>
  <c r="J805" i="1"/>
  <c r="K805" i="1"/>
  <c r="L805" i="1"/>
  <c r="M805" i="1"/>
  <c r="O805" i="1"/>
  <c r="P805" i="1"/>
  <c r="A806" i="1"/>
  <c r="B806" i="1"/>
  <c r="D806" i="1"/>
  <c r="E806" i="1"/>
  <c r="F806" i="1"/>
  <c r="G806" i="1"/>
  <c r="H806" i="1"/>
  <c r="I806" i="1"/>
  <c r="J806" i="1"/>
  <c r="K806" i="1"/>
  <c r="L806" i="1"/>
  <c r="M806" i="1"/>
  <c r="O806" i="1"/>
  <c r="P806" i="1"/>
  <c r="A807" i="1"/>
  <c r="B807" i="1"/>
  <c r="D807" i="1"/>
  <c r="E807" i="1"/>
  <c r="F807" i="1"/>
  <c r="G807" i="1"/>
  <c r="H807" i="1"/>
  <c r="I807" i="1"/>
  <c r="J807" i="1"/>
  <c r="K807" i="1"/>
  <c r="L807" i="1"/>
  <c r="M807" i="1"/>
  <c r="O807" i="1"/>
  <c r="P807" i="1"/>
  <c r="A808" i="1"/>
  <c r="B808" i="1"/>
  <c r="D808" i="1"/>
  <c r="E808" i="1"/>
  <c r="F808" i="1"/>
  <c r="G808" i="1"/>
  <c r="H808" i="1"/>
  <c r="I808" i="1"/>
  <c r="J808" i="1"/>
  <c r="K808" i="1"/>
  <c r="L808" i="1"/>
  <c r="M808" i="1"/>
  <c r="O808" i="1"/>
  <c r="P808" i="1"/>
  <c r="A809" i="1"/>
  <c r="B809" i="1"/>
  <c r="D809" i="1"/>
  <c r="E809" i="1"/>
  <c r="F809" i="1"/>
  <c r="G809" i="1"/>
  <c r="H809" i="1"/>
  <c r="I809" i="1"/>
  <c r="J809" i="1"/>
  <c r="K809" i="1"/>
  <c r="L809" i="1"/>
  <c r="M809" i="1"/>
  <c r="O809" i="1"/>
  <c r="P809" i="1"/>
  <c r="A810" i="1"/>
  <c r="B810" i="1"/>
  <c r="D810" i="1"/>
  <c r="E810" i="1"/>
  <c r="F810" i="1"/>
  <c r="G810" i="1"/>
  <c r="H810" i="1"/>
  <c r="I810" i="1"/>
  <c r="J810" i="1"/>
  <c r="K810" i="1"/>
  <c r="L810" i="1"/>
  <c r="M810" i="1"/>
  <c r="O810" i="1"/>
  <c r="P810" i="1"/>
  <c r="A811" i="1"/>
  <c r="B811" i="1"/>
  <c r="D811" i="1"/>
  <c r="E811" i="1"/>
  <c r="F811" i="1"/>
  <c r="G811" i="1"/>
  <c r="H811" i="1"/>
  <c r="I811" i="1"/>
  <c r="J811" i="1"/>
  <c r="K811" i="1"/>
  <c r="L811" i="1"/>
  <c r="M811" i="1"/>
  <c r="O811" i="1"/>
  <c r="P811" i="1"/>
  <c r="A812" i="1"/>
  <c r="B812" i="1"/>
  <c r="D812" i="1"/>
  <c r="E812" i="1"/>
  <c r="F812" i="1"/>
  <c r="G812" i="1"/>
  <c r="H812" i="1"/>
  <c r="I812" i="1"/>
  <c r="J812" i="1"/>
  <c r="K812" i="1"/>
  <c r="L812" i="1"/>
  <c r="M812" i="1"/>
  <c r="O812" i="1"/>
  <c r="P812" i="1"/>
  <c r="A813" i="1"/>
  <c r="B813" i="1"/>
  <c r="D813" i="1"/>
  <c r="E813" i="1"/>
  <c r="F813" i="1"/>
  <c r="G813" i="1"/>
  <c r="H813" i="1"/>
  <c r="I813" i="1"/>
  <c r="J813" i="1"/>
  <c r="K813" i="1"/>
  <c r="L813" i="1"/>
  <c r="M813" i="1"/>
  <c r="O813" i="1"/>
  <c r="P813" i="1"/>
  <c r="A814" i="1"/>
  <c r="B814" i="1"/>
  <c r="D814" i="1"/>
  <c r="E814" i="1"/>
  <c r="F814" i="1"/>
  <c r="G814" i="1"/>
  <c r="H814" i="1"/>
  <c r="I814" i="1"/>
  <c r="J814" i="1"/>
  <c r="K814" i="1"/>
  <c r="L814" i="1"/>
  <c r="M814" i="1"/>
  <c r="O814" i="1"/>
  <c r="P814" i="1"/>
  <c r="A815" i="1"/>
  <c r="B815" i="1"/>
  <c r="D815" i="1"/>
  <c r="E815" i="1"/>
  <c r="F815" i="1"/>
  <c r="G815" i="1"/>
  <c r="H815" i="1"/>
  <c r="I815" i="1"/>
  <c r="J815" i="1"/>
  <c r="K815" i="1"/>
  <c r="L815" i="1"/>
  <c r="M815" i="1"/>
  <c r="O815" i="1"/>
  <c r="P815" i="1"/>
  <c r="A816" i="1"/>
  <c r="B816" i="1"/>
  <c r="D816" i="1"/>
  <c r="E816" i="1"/>
  <c r="F816" i="1"/>
  <c r="G816" i="1"/>
  <c r="H816" i="1"/>
  <c r="I816" i="1"/>
  <c r="J816" i="1"/>
  <c r="K816" i="1"/>
  <c r="L816" i="1"/>
  <c r="M816" i="1"/>
  <c r="O816" i="1"/>
  <c r="P816" i="1"/>
  <c r="A817" i="1"/>
  <c r="B817" i="1"/>
  <c r="D817" i="1"/>
  <c r="E817" i="1"/>
  <c r="F817" i="1"/>
  <c r="G817" i="1"/>
  <c r="H817" i="1"/>
  <c r="I817" i="1"/>
  <c r="J817" i="1"/>
  <c r="K817" i="1"/>
  <c r="L817" i="1"/>
  <c r="M817" i="1"/>
  <c r="O817" i="1"/>
  <c r="P817" i="1"/>
  <c r="A818" i="1"/>
  <c r="B818" i="1"/>
  <c r="D818" i="1"/>
  <c r="E818" i="1"/>
  <c r="F818" i="1"/>
  <c r="G818" i="1"/>
  <c r="H818" i="1"/>
  <c r="I818" i="1"/>
  <c r="J818" i="1"/>
  <c r="K818" i="1"/>
  <c r="L818" i="1"/>
  <c r="M818" i="1"/>
  <c r="O818" i="1"/>
  <c r="P818" i="1"/>
  <c r="A819" i="1"/>
  <c r="B819" i="1"/>
  <c r="D819" i="1"/>
  <c r="E819" i="1"/>
  <c r="F819" i="1"/>
  <c r="G819" i="1"/>
  <c r="H819" i="1"/>
  <c r="I819" i="1"/>
  <c r="J819" i="1"/>
  <c r="K819" i="1"/>
  <c r="L819" i="1"/>
  <c r="M819" i="1"/>
  <c r="O819" i="1"/>
  <c r="P819" i="1"/>
  <c r="A820" i="1"/>
  <c r="B820" i="1"/>
  <c r="D820" i="1"/>
  <c r="E820" i="1"/>
  <c r="F820" i="1"/>
  <c r="G820" i="1"/>
  <c r="H820" i="1"/>
  <c r="I820" i="1"/>
  <c r="J820" i="1"/>
  <c r="K820" i="1"/>
  <c r="L820" i="1"/>
  <c r="M820" i="1"/>
  <c r="O820" i="1"/>
  <c r="P820" i="1"/>
  <c r="A821" i="1"/>
  <c r="B821" i="1"/>
  <c r="D821" i="1"/>
  <c r="E821" i="1"/>
  <c r="F821" i="1"/>
  <c r="G821" i="1"/>
  <c r="H821" i="1"/>
  <c r="I821" i="1"/>
  <c r="J821" i="1"/>
  <c r="K821" i="1"/>
  <c r="L821" i="1"/>
  <c r="M821" i="1"/>
  <c r="O821" i="1"/>
  <c r="P821" i="1"/>
  <c r="A822" i="1"/>
  <c r="B822" i="1"/>
  <c r="D822" i="1"/>
  <c r="E822" i="1"/>
  <c r="F822" i="1"/>
  <c r="G822" i="1"/>
  <c r="H822" i="1"/>
  <c r="I822" i="1"/>
  <c r="J822" i="1"/>
  <c r="K822" i="1"/>
  <c r="L822" i="1"/>
  <c r="M822" i="1"/>
  <c r="O822" i="1"/>
  <c r="P822" i="1"/>
  <c r="A823" i="1"/>
  <c r="B823" i="1"/>
  <c r="D823" i="1"/>
  <c r="E823" i="1"/>
  <c r="F823" i="1"/>
  <c r="G823" i="1"/>
  <c r="H823" i="1"/>
  <c r="I823" i="1"/>
  <c r="J823" i="1"/>
  <c r="K823" i="1"/>
  <c r="L823" i="1"/>
  <c r="M823" i="1"/>
  <c r="O823" i="1"/>
  <c r="P823" i="1"/>
  <c r="A824" i="1"/>
  <c r="B824" i="1"/>
  <c r="D824" i="1"/>
  <c r="E824" i="1"/>
  <c r="F824" i="1"/>
  <c r="G824" i="1"/>
  <c r="H824" i="1"/>
  <c r="I824" i="1"/>
  <c r="J824" i="1"/>
  <c r="K824" i="1"/>
  <c r="L824" i="1"/>
  <c r="M824" i="1"/>
  <c r="O824" i="1"/>
  <c r="P824" i="1"/>
  <c r="A825" i="1"/>
  <c r="B825" i="1"/>
  <c r="D825" i="1"/>
  <c r="E825" i="1"/>
  <c r="F825" i="1"/>
  <c r="G825" i="1"/>
  <c r="H825" i="1"/>
  <c r="I825" i="1"/>
  <c r="J825" i="1"/>
  <c r="K825" i="1"/>
  <c r="L825" i="1"/>
  <c r="M825" i="1"/>
  <c r="O825" i="1"/>
  <c r="P825" i="1"/>
  <c r="A826" i="1"/>
  <c r="B826" i="1"/>
  <c r="D826" i="1"/>
  <c r="E826" i="1"/>
  <c r="F826" i="1"/>
  <c r="G826" i="1"/>
  <c r="H826" i="1"/>
  <c r="I826" i="1"/>
  <c r="J826" i="1"/>
  <c r="K826" i="1"/>
  <c r="L826" i="1"/>
  <c r="M826" i="1"/>
  <c r="O826" i="1"/>
  <c r="P826" i="1"/>
  <c r="A827" i="1"/>
  <c r="B827" i="1"/>
  <c r="D827" i="1"/>
  <c r="E827" i="1"/>
  <c r="F827" i="1"/>
  <c r="G827" i="1"/>
  <c r="H827" i="1"/>
  <c r="I827" i="1"/>
  <c r="J827" i="1"/>
  <c r="K827" i="1"/>
  <c r="L827" i="1"/>
  <c r="M827" i="1"/>
  <c r="O827" i="1"/>
  <c r="P827" i="1"/>
  <c r="A828" i="1"/>
  <c r="B828" i="1"/>
  <c r="D828" i="1"/>
  <c r="E828" i="1"/>
  <c r="F828" i="1"/>
  <c r="G828" i="1"/>
  <c r="H828" i="1"/>
  <c r="I828" i="1"/>
  <c r="J828" i="1"/>
  <c r="K828" i="1"/>
  <c r="L828" i="1"/>
  <c r="M828" i="1"/>
  <c r="O828" i="1"/>
  <c r="P828" i="1"/>
  <c r="A829" i="1"/>
  <c r="B829" i="1"/>
  <c r="D829" i="1"/>
  <c r="E829" i="1"/>
  <c r="F829" i="1"/>
  <c r="G829" i="1"/>
  <c r="H829" i="1"/>
  <c r="I829" i="1"/>
  <c r="J829" i="1"/>
  <c r="K829" i="1"/>
  <c r="L829" i="1"/>
  <c r="M829" i="1"/>
  <c r="O829" i="1"/>
  <c r="P829" i="1"/>
  <c r="A830" i="1"/>
  <c r="B830" i="1"/>
  <c r="D830" i="1"/>
  <c r="E830" i="1"/>
  <c r="F830" i="1"/>
  <c r="G830" i="1"/>
  <c r="H830" i="1"/>
  <c r="I830" i="1"/>
  <c r="J830" i="1"/>
  <c r="K830" i="1"/>
  <c r="L830" i="1"/>
  <c r="M830" i="1"/>
  <c r="O830" i="1"/>
  <c r="P830" i="1"/>
  <c r="A831" i="1"/>
  <c r="B831" i="1"/>
  <c r="D831" i="1"/>
  <c r="E831" i="1"/>
  <c r="F831" i="1"/>
  <c r="G831" i="1"/>
  <c r="H831" i="1"/>
  <c r="I831" i="1"/>
  <c r="J831" i="1"/>
  <c r="K831" i="1"/>
  <c r="L831" i="1"/>
  <c r="M831" i="1"/>
  <c r="O831" i="1"/>
  <c r="P831" i="1"/>
  <c r="A832" i="1"/>
  <c r="B832" i="1"/>
  <c r="D832" i="1"/>
  <c r="E832" i="1"/>
  <c r="F832" i="1"/>
  <c r="G832" i="1"/>
  <c r="H832" i="1"/>
  <c r="I832" i="1"/>
  <c r="J832" i="1"/>
  <c r="K832" i="1"/>
  <c r="L832" i="1"/>
  <c r="M832" i="1"/>
  <c r="O832" i="1"/>
  <c r="P832" i="1"/>
  <c r="A833" i="1"/>
  <c r="B833" i="1"/>
  <c r="D833" i="1"/>
  <c r="E833" i="1"/>
  <c r="F833" i="1"/>
  <c r="G833" i="1"/>
  <c r="H833" i="1"/>
  <c r="I833" i="1"/>
  <c r="J833" i="1"/>
  <c r="K833" i="1"/>
  <c r="L833" i="1"/>
  <c r="M833" i="1"/>
  <c r="O833" i="1"/>
  <c r="P833" i="1"/>
  <c r="A834" i="1"/>
  <c r="B834" i="1"/>
  <c r="D834" i="1"/>
  <c r="E834" i="1"/>
  <c r="F834" i="1"/>
  <c r="G834" i="1"/>
  <c r="H834" i="1"/>
  <c r="I834" i="1"/>
  <c r="J834" i="1"/>
  <c r="K834" i="1"/>
  <c r="L834" i="1"/>
  <c r="M834" i="1"/>
  <c r="O834" i="1"/>
  <c r="P834" i="1"/>
  <c r="A835" i="1"/>
  <c r="B835" i="1"/>
  <c r="D835" i="1"/>
  <c r="E835" i="1"/>
  <c r="F835" i="1"/>
  <c r="G835" i="1"/>
  <c r="H835" i="1"/>
  <c r="I835" i="1"/>
  <c r="J835" i="1"/>
  <c r="K835" i="1"/>
  <c r="L835" i="1"/>
  <c r="M835" i="1"/>
  <c r="O835" i="1"/>
  <c r="P835" i="1"/>
  <c r="A836" i="1"/>
  <c r="B836" i="1"/>
  <c r="D836" i="1"/>
  <c r="E836" i="1"/>
  <c r="F836" i="1"/>
  <c r="G836" i="1"/>
  <c r="H836" i="1"/>
  <c r="I836" i="1"/>
  <c r="J836" i="1"/>
  <c r="K836" i="1"/>
  <c r="L836" i="1"/>
  <c r="M836" i="1"/>
  <c r="O836" i="1"/>
  <c r="P836" i="1"/>
  <c r="A837" i="1"/>
  <c r="B837" i="1"/>
  <c r="D837" i="1"/>
  <c r="E837" i="1"/>
  <c r="F837" i="1"/>
  <c r="G837" i="1"/>
  <c r="H837" i="1"/>
  <c r="I837" i="1"/>
  <c r="J837" i="1"/>
  <c r="K837" i="1"/>
  <c r="L837" i="1"/>
  <c r="M837" i="1"/>
  <c r="O837" i="1"/>
  <c r="P837" i="1"/>
  <c r="A838" i="1"/>
  <c r="B838" i="1"/>
  <c r="D838" i="1"/>
  <c r="E838" i="1"/>
  <c r="F838" i="1"/>
  <c r="G838" i="1"/>
  <c r="H838" i="1"/>
  <c r="I838" i="1"/>
  <c r="J838" i="1"/>
  <c r="K838" i="1"/>
  <c r="L838" i="1"/>
  <c r="M838" i="1"/>
  <c r="O838" i="1"/>
  <c r="P838" i="1"/>
  <c r="A839" i="1"/>
  <c r="B839" i="1"/>
  <c r="D839" i="1"/>
  <c r="E839" i="1"/>
  <c r="F839" i="1"/>
  <c r="G839" i="1"/>
  <c r="H839" i="1"/>
  <c r="I839" i="1"/>
  <c r="J839" i="1"/>
  <c r="K839" i="1"/>
  <c r="L839" i="1"/>
  <c r="M839" i="1"/>
  <c r="O839" i="1"/>
  <c r="P839" i="1"/>
  <c r="A840" i="1"/>
  <c r="B840" i="1"/>
  <c r="D840" i="1"/>
  <c r="E840" i="1"/>
  <c r="F840" i="1"/>
  <c r="G840" i="1"/>
  <c r="H840" i="1"/>
  <c r="I840" i="1"/>
  <c r="J840" i="1"/>
  <c r="K840" i="1"/>
  <c r="L840" i="1"/>
  <c r="M840" i="1"/>
  <c r="O840" i="1"/>
  <c r="P840" i="1"/>
  <c r="A841" i="1"/>
  <c r="B841" i="1"/>
  <c r="D841" i="1"/>
  <c r="E841" i="1"/>
  <c r="F841" i="1"/>
  <c r="G841" i="1"/>
  <c r="H841" i="1"/>
  <c r="I841" i="1"/>
  <c r="J841" i="1"/>
  <c r="K841" i="1"/>
  <c r="L841" i="1"/>
  <c r="M841" i="1"/>
  <c r="O841" i="1"/>
  <c r="P841" i="1"/>
  <c r="A842" i="1"/>
  <c r="B842" i="1"/>
  <c r="D842" i="1"/>
  <c r="E842" i="1"/>
  <c r="F842" i="1"/>
  <c r="G842" i="1"/>
  <c r="H842" i="1"/>
  <c r="I842" i="1"/>
  <c r="J842" i="1"/>
  <c r="K842" i="1"/>
  <c r="L842" i="1"/>
  <c r="M842" i="1"/>
  <c r="O842" i="1"/>
  <c r="P842" i="1"/>
  <c r="A843" i="1"/>
  <c r="B843" i="1"/>
  <c r="D843" i="1"/>
  <c r="E843" i="1"/>
  <c r="F843" i="1"/>
  <c r="G843" i="1"/>
  <c r="H843" i="1"/>
  <c r="I843" i="1"/>
  <c r="J843" i="1"/>
  <c r="K843" i="1"/>
  <c r="L843" i="1"/>
  <c r="M843" i="1"/>
  <c r="O843" i="1"/>
  <c r="P843" i="1"/>
  <c r="A844" i="1"/>
  <c r="B844" i="1"/>
  <c r="D844" i="1"/>
  <c r="E844" i="1"/>
  <c r="F844" i="1"/>
  <c r="G844" i="1"/>
  <c r="H844" i="1"/>
  <c r="I844" i="1"/>
  <c r="J844" i="1"/>
  <c r="K844" i="1"/>
  <c r="L844" i="1"/>
  <c r="M844" i="1"/>
  <c r="O844" i="1"/>
  <c r="P844" i="1"/>
  <c r="A845" i="1"/>
  <c r="B845" i="1"/>
  <c r="D845" i="1"/>
  <c r="E845" i="1"/>
  <c r="F845" i="1"/>
  <c r="G845" i="1"/>
  <c r="H845" i="1"/>
  <c r="I845" i="1"/>
  <c r="J845" i="1"/>
  <c r="K845" i="1"/>
  <c r="L845" i="1"/>
  <c r="M845" i="1"/>
  <c r="O845" i="1"/>
  <c r="P845" i="1"/>
  <c r="A846" i="1"/>
  <c r="B846" i="1"/>
  <c r="D846" i="1"/>
  <c r="E846" i="1"/>
  <c r="F846" i="1"/>
  <c r="G846" i="1"/>
  <c r="H846" i="1"/>
  <c r="I846" i="1"/>
  <c r="J846" i="1"/>
  <c r="K846" i="1"/>
  <c r="L846" i="1"/>
  <c r="M846" i="1"/>
  <c r="O846" i="1"/>
  <c r="P846" i="1"/>
  <c r="A847" i="1"/>
  <c r="B847" i="1"/>
  <c r="D847" i="1"/>
  <c r="E847" i="1"/>
  <c r="F847" i="1"/>
  <c r="G847" i="1"/>
  <c r="H847" i="1"/>
  <c r="I847" i="1"/>
  <c r="J847" i="1"/>
  <c r="K847" i="1"/>
  <c r="L847" i="1"/>
  <c r="M847" i="1"/>
  <c r="O847" i="1"/>
  <c r="P847" i="1"/>
  <c r="A848" i="1"/>
  <c r="B848" i="1"/>
  <c r="D848" i="1"/>
  <c r="E848" i="1"/>
  <c r="F848" i="1"/>
  <c r="G848" i="1"/>
  <c r="H848" i="1"/>
  <c r="I848" i="1"/>
  <c r="J848" i="1"/>
  <c r="K848" i="1"/>
  <c r="L848" i="1"/>
  <c r="M848" i="1"/>
  <c r="O848" i="1"/>
  <c r="P848" i="1"/>
  <c r="A849" i="1"/>
  <c r="B849" i="1"/>
  <c r="D849" i="1"/>
  <c r="E849" i="1"/>
  <c r="F849" i="1"/>
  <c r="G849" i="1"/>
  <c r="H849" i="1"/>
  <c r="I849" i="1"/>
  <c r="J849" i="1"/>
  <c r="K849" i="1"/>
  <c r="L849" i="1"/>
  <c r="M849" i="1"/>
  <c r="O849" i="1"/>
  <c r="P849" i="1"/>
  <c r="A850" i="1"/>
  <c r="B850" i="1"/>
  <c r="D850" i="1"/>
  <c r="E850" i="1"/>
  <c r="F850" i="1"/>
  <c r="G850" i="1"/>
  <c r="H850" i="1"/>
  <c r="I850" i="1"/>
  <c r="J850" i="1"/>
  <c r="K850" i="1"/>
  <c r="L850" i="1"/>
  <c r="M850" i="1"/>
  <c r="O850" i="1"/>
  <c r="P850" i="1"/>
  <c r="A851" i="1"/>
  <c r="B851" i="1"/>
  <c r="D851" i="1"/>
  <c r="E851" i="1"/>
  <c r="F851" i="1"/>
  <c r="G851" i="1"/>
  <c r="H851" i="1"/>
  <c r="I851" i="1"/>
  <c r="J851" i="1"/>
  <c r="K851" i="1"/>
  <c r="L851" i="1"/>
  <c r="M851" i="1"/>
  <c r="O851" i="1"/>
  <c r="P851" i="1"/>
  <c r="A852" i="1"/>
  <c r="B852" i="1"/>
  <c r="D852" i="1"/>
  <c r="E852" i="1"/>
  <c r="F852" i="1"/>
  <c r="G852" i="1"/>
  <c r="H852" i="1"/>
  <c r="I852" i="1"/>
  <c r="J852" i="1"/>
  <c r="K852" i="1"/>
  <c r="L852" i="1"/>
  <c r="M852" i="1"/>
  <c r="O852" i="1"/>
  <c r="P852" i="1"/>
  <c r="A853" i="1"/>
  <c r="B853" i="1"/>
  <c r="D853" i="1"/>
  <c r="E853" i="1"/>
  <c r="F853" i="1"/>
  <c r="G853" i="1"/>
  <c r="H853" i="1"/>
  <c r="I853" i="1"/>
  <c r="J853" i="1"/>
  <c r="K853" i="1"/>
  <c r="L853" i="1"/>
  <c r="M853" i="1"/>
  <c r="O853" i="1"/>
  <c r="P853" i="1"/>
  <c r="A854" i="1"/>
  <c r="B854" i="1"/>
  <c r="D854" i="1"/>
  <c r="E854" i="1"/>
  <c r="F854" i="1"/>
  <c r="G854" i="1"/>
  <c r="H854" i="1"/>
  <c r="I854" i="1"/>
  <c r="J854" i="1"/>
  <c r="K854" i="1"/>
  <c r="L854" i="1"/>
  <c r="M854" i="1"/>
  <c r="O854" i="1"/>
  <c r="P854" i="1"/>
  <c r="A855" i="1"/>
  <c r="B855" i="1"/>
  <c r="D855" i="1"/>
  <c r="E855" i="1"/>
  <c r="F855" i="1"/>
  <c r="G855" i="1"/>
  <c r="H855" i="1"/>
  <c r="I855" i="1"/>
  <c r="J855" i="1"/>
  <c r="K855" i="1"/>
  <c r="L855" i="1"/>
  <c r="M855" i="1"/>
  <c r="O855" i="1"/>
  <c r="P855" i="1"/>
  <c r="A856" i="1"/>
  <c r="B856" i="1"/>
  <c r="D856" i="1"/>
  <c r="E856" i="1"/>
  <c r="F856" i="1"/>
  <c r="G856" i="1"/>
  <c r="H856" i="1"/>
  <c r="I856" i="1"/>
  <c r="J856" i="1"/>
  <c r="K856" i="1"/>
  <c r="L856" i="1"/>
  <c r="M856" i="1"/>
  <c r="O856" i="1"/>
  <c r="P856" i="1"/>
  <c r="A857" i="1"/>
  <c r="B857" i="1"/>
  <c r="D857" i="1"/>
  <c r="E857" i="1"/>
  <c r="F857" i="1"/>
  <c r="G857" i="1"/>
  <c r="H857" i="1"/>
  <c r="I857" i="1"/>
  <c r="J857" i="1"/>
  <c r="K857" i="1"/>
  <c r="L857" i="1"/>
  <c r="M857" i="1"/>
  <c r="O857" i="1"/>
  <c r="P857" i="1"/>
  <c r="A858" i="1"/>
  <c r="B858" i="1"/>
  <c r="D858" i="1"/>
  <c r="E858" i="1"/>
  <c r="F858" i="1"/>
  <c r="G858" i="1"/>
  <c r="H858" i="1"/>
  <c r="I858" i="1"/>
  <c r="J858" i="1"/>
  <c r="K858" i="1"/>
  <c r="L858" i="1"/>
  <c r="M858" i="1"/>
  <c r="O858" i="1"/>
  <c r="P858" i="1"/>
  <c r="A859" i="1"/>
  <c r="B859" i="1"/>
  <c r="D859" i="1"/>
  <c r="E859" i="1"/>
  <c r="F859" i="1"/>
  <c r="G859" i="1"/>
  <c r="H859" i="1"/>
  <c r="I859" i="1"/>
  <c r="J859" i="1"/>
  <c r="K859" i="1"/>
  <c r="L859" i="1"/>
  <c r="M859" i="1"/>
  <c r="O859" i="1"/>
  <c r="P859" i="1"/>
  <c r="A860" i="1"/>
  <c r="B860" i="1"/>
  <c r="D860" i="1"/>
  <c r="E860" i="1"/>
  <c r="F860" i="1"/>
  <c r="G860" i="1"/>
  <c r="H860" i="1"/>
  <c r="I860" i="1"/>
  <c r="J860" i="1"/>
  <c r="K860" i="1"/>
  <c r="L860" i="1"/>
  <c r="M860" i="1"/>
  <c r="O860" i="1"/>
  <c r="P860" i="1"/>
  <c r="A861" i="1"/>
  <c r="B861" i="1"/>
  <c r="D861" i="1"/>
  <c r="E861" i="1"/>
  <c r="F861" i="1"/>
  <c r="G861" i="1"/>
  <c r="H861" i="1"/>
  <c r="I861" i="1"/>
  <c r="J861" i="1"/>
  <c r="K861" i="1"/>
  <c r="L861" i="1"/>
  <c r="M861" i="1"/>
  <c r="O861" i="1"/>
  <c r="P861" i="1"/>
  <c r="A862" i="1"/>
  <c r="B862" i="1"/>
  <c r="D862" i="1"/>
  <c r="E862" i="1"/>
  <c r="F862" i="1"/>
  <c r="G862" i="1"/>
  <c r="H862" i="1"/>
  <c r="I862" i="1"/>
  <c r="J862" i="1"/>
  <c r="K862" i="1"/>
  <c r="L862" i="1"/>
  <c r="M862" i="1"/>
  <c r="O862" i="1"/>
  <c r="P862" i="1"/>
  <c r="A863" i="1"/>
  <c r="B863" i="1"/>
  <c r="D863" i="1"/>
  <c r="E863" i="1"/>
  <c r="F863" i="1"/>
  <c r="G863" i="1"/>
  <c r="H863" i="1"/>
  <c r="I863" i="1"/>
  <c r="J863" i="1"/>
  <c r="K863" i="1"/>
  <c r="L863" i="1"/>
  <c r="M863" i="1"/>
  <c r="O863" i="1"/>
  <c r="P863" i="1"/>
  <c r="A864" i="1"/>
  <c r="B864" i="1"/>
  <c r="D864" i="1"/>
  <c r="E864" i="1"/>
  <c r="F864" i="1"/>
  <c r="G864" i="1"/>
  <c r="H864" i="1"/>
  <c r="I864" i="1"/>
  <c r="J864" i="1"/>
  <c r="K864" i="1"/>
  <c r="L864" i="1"/>
  <c r="M864" i="1"/>
  <c r="O864" i="1"/>
  <c r="P864" i="1"/>
  <c r="A865" i="1"/>
  <c r="B865" i="1"/>
  <c r="D865" i="1"/>
  <c r="E865" i="1"/>
  <c r="F865" i="1"/>
  <c r="G865" i="1"/>
  <c r="H865" i="1"/>
  <c r="I865" i="1"/>
  <c r="J865" i="1"/>
  <c r="K865" i="1"/>
  <c r="L865" i="1"/>
  <c r="M865" i="1"/>
  <c r="O865" i="1"/>
  <c r="P865" i="1"/>
  <c r="A866" i="1"/>
  <c r="B866" i="1"/>
  <c r="D866" i="1"/>
  <c r="E866" i="1"/>
  <c r="F866" i="1"/>
  <c r="G866" i="1"/>
  <c r="H866" i="1"/>
  <c r="I866" i="1"/>
  <c r="J866" i="1"/>
  <c r="K866" i="1"/>
  <c r="L866" i="1"/>
  <c r="M866" i="1"/>
  <c r="O866" i="1"/>
  <c r="P866" i="1"/>
  <c r="A867" i="1"/>
  <c r="B867" i="1"/>
  <c r="D867" i="1"/>
  <c r="E867" i="1"/>
  <c r="F867" i="1"/>
  <c r="G867" i="1"/>
  <c r="H867" i="1"/>
  <c r="I867" i="1"/>
  <c r="J867" i="1"/>
  <c r="K867" i="1"/>
  <c r="L867" i="1"/>
  <c r="M867" i="1"/>
  <c r="O867" i="1"/>
  <c r="P867" i="1"/>
  <c r="A868" i="1"/>
  <c r="B868" i="1"/>
  <c r="D868" i="1"/>
  <c r="E868" i="1"/>
  <c r="F868" i="1"/>
  <c r="G868" i="1"/>
  <c r="H868" i="1"/>
  <c r="I868" i="1"/>
  <c r="J868" i="1"/>
  <c r="K868" i="1"/>
  <c r="L868" i="1"/>
  <c r="M868" i="1"/>
  <c r="O868" i="1"/>
  <c r="P868" i="1"/>
  <c r="A869" i="1"/>
  <c r="B869" i="1"/>
  <c r="D869" i="1"/>
  <c r="E869" i="1"/>
  <c r="F869" i="1"/>
  <c r="G869" i="1"/>
  <c r="H869" i="1"/>
  <c r="I869" i="1"/>
  <c r="J869" i="1"/>
  <c r="K869" i="1"/>
  <c r="L869" i="1"/>
  <c r="M869" i="1"/>
  <c r="O869" i="1"/>
  <c r="P869" i="1"/>
  <c r="A870" i="1"/>
  <c r="B870" i="1"/>
  <c r="D870" i="1"/>
  <c r="E870" i="1"/>
  <c r="F870" i="1"/>
  <c r="G870" i="1"/>
  <c r="H870" i="1"/>
  <c r="I870" i="1"/>
  <c r="J870" i="1"/>
  <c r="K870" i="1"/>
  <c r="L870" i="1"/>
  <c r="M870" i="1"/>
  <c r="O870" i="1"/>
  <c r="P870" i="1"/>
  <c r="A871" i="1"/>
  <c r="B871" i="1"/>
  <c r="D871" i="1"/>
  <c r="E871" i="1"/>
  <c r="F871" i="1"/>
  <c r="G871" i="1"/>
  <c r="H871" i="1"/>
  <c r="I871" i="1"/>
  <c r="J871" i="1"/>
  <c r="K871" i="1"/>
  <c r="L871" i="1"/>
  <c r="M871" i="1"/>
  <c r="O871" i="1"/>
  <c r="P871" i="1"/>
  <c r="A872" i="1"/>
  <c r="B872" i="1"/>
  <c r="D872" i="1"/>
  <c r="E872" i="1"/>
  <c r="F872" i="1"/>
  <c r="G872" i="1"/>
  <c r="H872" i="1"/>
  <c r="I872" i="1"/>
  <c r="J872" i="1"/>
  <c r="K872" i="1"/>
  <c r="L872" i="1"/>
  <c r="M872" i="1"/>
  <c r="O872" i="1"/>
  <c r="P872" i="1"/>
  <c r="A873" i="1"/>
  <c r="B873" i="1"/>
  <c r="D873" i="1"/>
  <c r="E873" i="1"/>
  <c r="F873" i="1"/>
  <c r="G873" i="1"/>
  <c r="H873" i="1"/>
  <c r="I873" i="1"/>
  <c r="J873" i="1"/>
  <c r="K873" i="1"/>
  <c r="L873" i="1"/>
  <c r="M873" i="1"/>
  <c r="O873" i="1"/>
  <c r="P873" i="1"/>
  <c r="A874" i="1"/>
  <c r="B874" i="1"/>
  <c r="D874" i="1"/>
  <c r="E874" i="1"/>
  <c r="F874" i="1"/>
  <c r="G874" i="1"/>
  <c r="H874" i="1"/>
  <c r="I874" i="1"/>
  <c r="J874" i="1"/>
  <c r="K874" i="1"/>
  <c r="L874" i="1"/>
  <c r="M874" i="1"/>
  <c r="O874" i="1"/>
  <c r="P874" i="1"/>
  <c r="A875" i="1"/>
  <c r="B875" i="1"/>
  <c r="D875" i="1"/>
  <c r="E875" i="1"/>
  <c r="F875" i="1"/>
  <c r="G875" i="1"/>
  <c r="H875" i="1"/>
  <c r="I875" i="1"/>
  <c r="J875" i="1"/>
  <c r="K875" i="1"/>
  <c r="L875" i="1"/>
  <c r="M875" i="1"/>
  <c r="O875" i="1"/>
  <c r="P875" i="1"/>
  <c r="A876" i="1"/>
  <c r="B876" i="1"/>
  <c r="D876" i="1"/>
  <c r="E876" i="1"/>
  <c r="F876" i="1"/>
  <c r="G876" i="1"/>
  <c r="H876" i="1"/>
  <c r="I876" i="1"/>
  <c r="J876" i="1"/>
  <c r="K876" i="1"/>
  <c r="L876" i="1"/>
  <c r="M876" i="1"/>
  <c r="O876" i="1"/>
  <c r="P876" i="1"/>
  <c r="A877" i="1"/>
  <c r="B877" i="1"/>
  <c r="D877" i="1"/>
  <c r="E877" i="1"/>
  <c r="F877" i="1"/>
  <c r="G877" i="1"/>
  <c r="H877" i="1"/>
  <c r="I877" i="1"/>
  <c r="J877" i="1"/>
  <c r="K877" i="1"/>
  <c r="L877" i="1"/>
  <c r="M877" i="1"/>
  <c r="O877" i="1"/>
  <c r="P877" i="1"/>
  <c r="A878" i="1"/>
  <c r="B878" i="1"/>
  <c r="D878" i="1"/>
  <c r="E878" i="1"/>
  <c r="F878" i="1"/>
  <c r="G878" i="1"/>
  <c r="H878" i="1"/>
  <c r="I878" i="1"/>
  <c r="J878" i="1"/>
  <c r="K878" i="1"/>
  <c r="L878" i="1"/>
  <c r="M878" i="1"/>
  <c r="O878" i="1"/>
  <c r="P878" i="1"/>
  <c r="A879" i="1"/>
  <c r="B879" i="1"/>
  <c r="D879" i="1"/>
  <c r="E879" i="1"/>
  <c r="F879" i="1"/>
  <c r="G879" i="1"/>
  <c r="H879" i="1"/>
  <c r="I879" i="1"/>
  <c r="J879" i="1"/>
  <c r="K879" i="1"/>
  <c r="L879" i="1"/>
  <c r="M879" i="1"/>
  <c r="O879" i="1"/>
  <c r="P879" i="1"/>
  <c r="A880" i="1"/>
  <c r="B880" i="1"/>
  <c r="D880" i="1"/>
  <c r="E880" i="1"/>
  <c r="F880" i="1"/>
  <c r="G880" i="1"/>
  <c r="H880" i="1"/>
  <c r="I880" i="1"/>
  <c r="J880" i="1"/>
  <c r="K880" i="1"/>
  <c r="L880" i="1"/>
  <c r="M880" i="1"/>
  <c r="O880" i="1"/>
  <c r="P880" i="1"/>
  <c r="A881" i="1"/>
  <c r="B881" i="1"/>
  <c r="D881" i="1"/>
  <c r="E881" i="1"/>
  <c r="F881" i="1"/>
  <c r="G881" i="1"/>
  <c r="H881" i="1"/>
  <c r="I881" i="1"/>
  <c r="J881" i="1"/>
  <c r="K881" i="1"/>
  <c r="L881" i="1"/>
  <c r="M881" i="1"/>
  <c r="O881" i="1"/>
  <c r="P881" i="1"/>
  <c r="A882" i="1"/>
  <c r="B882" i="1"/>
  <c r="D882" i="1"/>
  <c r="E882" i="1"/>
  <c r="F882" i="1"/>
  <c r="G882" i="1"/>
  <c r="H882" i="1"/>
  <c r="I882" i="1"/>
  <c r="J882" i="1"/>
  <c r="K882" i="1"/>
  <c r="L882" i="1"/>
  <c r="M882" i="1"/>
  <c r="O882" i="1"/>
  <c r="P882" i="1"/>
  <c r="A883" i="1"/>
  <c r="B883" i="1"/>
  <c r="D883" i="1"/>
  <c r="E883" i="1"/>
  <c r="F883" i="1"/>
  <c r="G883" i="1"/>
  <c r="H883" i="1"/>
  <c r="I883" i="1"/>
  <c r="J883" i="1"/>
  <c r="K883" i="1"/>
  <c r="L883" i="1"/>
  <c r="M883" i="1"/>
  <c r="O883" i="1"/>
  <c r="P883" i="1"/>
  <c r="A884" i="1"/>
  <c r="B884" i="1"/>
  <c r="D884" i="1"/>
  <c r="E884" i="1"/>
  <c r="F884" i="1"/>
  <c r="G884" i="1"/>
  <c r="H884" i="1"/>
  <c r="I884" i="1"/>
  <c r="J884" i="1"/>
  <c r="K884" i="1"/>
  <c r="L884" i="1"/>
  <c r="M884" i="1"/>
  <c r="O884" i="1"/>
  <c r="P884" i="1"/>
  <c r="A885" i="1"/>
  <c r="B885" i="1"/>
  <c r="D885" i="1"/>
  <c r="E885" i="1"/>
  <c r="F885" i="1"/>
  <c r="G885" i="1"/>
  <c r="H885" i="1"/>
  <c r="I885" i="1"/>
  <c r="J885" i="1"/>
  <c r="K885" i="1"/>
  <c r="L885" i="1"/>
  <c r="M885" i="1"/>
  <c r="O885" i="1"/>
  <c r="P885" i="1"/>
  <c r="A886" i="1"/>
  <c r="B886" i="1"/>
  <c r="D886" i="1"/>
  <c r="E886" i="1"/>
  <c r="F886" i="1"/>
  <c r="G886" i="1"/>
  <c r="H886" i="1"/>
  <c r="I886" i="1"/>
  <c r="J886" i="1"/>
  <c r="K886" i="1"/>
  <c r="L886" i="1"/>
  <c r="M886" i="1"/>
  <c r="O886" i="1"/>
  <c r="P886" i="1"/>
  <c r="A887" i="1"/>
  <c r="B887" i="1"/>
  <c r="D887" i="1"/>
  <c r="E887" i="1"/>
  <c r="F887" i="1"/>
  <c r="G887" i="1"/>
  <c r="H887" i="1"/>
  <c r="I887" i="1"/>
  <c r="J887" i="1"/>
  <c r="K887" i="1"/>
  <c r="L887" i="1"/>
  <c r="M887" i="1"/>
  <c r="O887" i="1"/>
  <c r="P887" i="1"/>
  <c r="A888" i="1"/>
  <c r="B888" i="1"/>
  <c r="D888" i="1"/>
  <c r="E888" i="1"/>
  <c r="F888" i="1"/>
  <c r="G888" i="1"/>
  <c r="H888" i="1"/>
  <c r="I888" i="1"/>
  <c r="J888" i="1"/>
  <c r="K888" i="1"/>
  <c r="L888" i="1"/>
  <c r="M888" i="1"/>
  <c r="O888" i="1"/>
  <c r="P888" i="1"/>
  <c r="A889" i="1"/>
  <c r="B889" i="1"/>
  <c r="D889" i="1"/>
  <c r="E889" i="1"/>
  <c r="F889" i="1"/>
  <c r="G889" i="1"/>
  <c r="H889" i="1"/>
  <c r="I889" i="1"/>
  <c r="J889" i="1"/>
  <c r="K889" i="1"/>
  <c r="L889" i="1"/>
  <c r="M889" i="1"/>
  <c r="O889" i="1"/>
  <c r="P889" i="1"/>
  <c r="A890" i="1"/>
  <c r="B890" i="1"/>
  <c r="D890" i="1"/>
  <c r="E890" i="1"/>
  <c r="F890" i="1"/>
  <c r="G890" i="1"/>
  <c r="H890" i="1"/>
  <c r="I890" i="1"/>
  <c r="J890" i="1"/>
  <c r="K890" i="1"/>
  <c r="L890" i="1"/>
  <c r="M890" i="1"/>
  <c r="O890" i="1"/>
  <c r="P890" i="1"/>
  <c r="A891" i="1"/>
  <c r="B891" i="1"/>
  <c r="D891" i="1"/>
  <c r="E891" i="1"/>
  <c r="F891" i="1"/>
  <c r="G891" i="1"/>
  <c r="H891" i="1"/>
  <c r="I891" i="1"/>
  <c r="J891" i="1"/>
  <c r="K891" i="1"/>
  <c r="L891" i="1"/>
  <c r="M891" i="1"/>
  <c r="O891" i="1"/>
  <c r="P891" i="1"/>
  <c r="A892" i="1"/>
  <c r="B892" i="1"/>
  <c r="D892" i="1"/>
  <c r="E892" i="1"/>
  <c r="F892" i="1"/>
  <c r="G892" i="1"/>
  <c r="H892" i="1"/>
  <c r="I892" i="1"/>
  <c r="J892" i="1"/>
  <c r="K892" i="1"/>
  <c r="L892" i="1"/>
  <c r="M892" i="1"/>
  <c r="O892" i="1"/>
  <c r="P892" i="1"/>
  <c r="A893" i="1"/>
  <c r="B893" i="1"/>
  <c r="D893" i="1"/>
  <c r="E893" i="1"/>
  <c r="F893" i="1"/>
  <c r="G893" i="1"/>
  <c r="H893" i="1"/>
  <c r="I893" i="1"/>
  <c r="J893" i="1"/>
  <c r="K893" i="1"/>
  <c r="L893" i="1"/>
  <c r="M893" i="1"/>
  <c r="O893" i="1"/>
  <c r="P893" i="1"/>
  <c r="A894" i="1"/>
  <c r="B894" i="1"/>
  <c r="D894" i="1"/>
  <c r="E894" i="1"/>
  <c r="F894" i="1"/>
  <c r="G894" i="1"/>
  <c r="H894" i="1"/>
  <c r="I894" i="1"/>
  <c r="J894" i="1"/>
  <c r="K894" i="1"/>
  <c r="L894" i="1"/>
  <c r="M894" i="1"/>
  <c r="O894" i="1"/>
  <c r="P894" i="1"/>
  <c r="A895" i="1"/>
  <c r="B895" i="1"/>
  <c r="D895" i="1"/>
  <c r="E895" i="1"/>
  <c r="F895" i="1"/>
  <c r="G895" i="1"/>
  <c r="H895" i="1"/>
  <c r="I895" i="1"/>
  <c r="J895" i="1"/>
  <c r="K895" i="1"/>
  <c r="L895" i="1"/>
  <c r="M895" i="1"/>
  <c r="O895" i="1"/>
  <c r="P895" i="1"/>
  <c r="A896" i="1"/>
  <c r="B896" i="1"/>
  <c r="D896" i="1"/>
  <c r="E896" i="1"/>
  <c r="F896" i="1"/>
  <c r="G896" i="1"/>
  <c r="H896" i="1"/>
  <c r="I896" i="1"/>
  <c r="J896" i="1"/>
  <c r="K896" i="1"/>
  <c r="L896" i="1"/>
  <c r="M896" i="1"/>
  <c r="O896" i="1"/>
  <c r="P896" i="1"/>
  <c r="A897" i="1"/>
  <c r="B897" i="1"/>
  <c r="D897" i="1"/>
  <c r="E897" i="1"/>
  <c r="F897" i="1"/>
  <c r="G897" i="1"/>
  <c r="H897" i="1"/>
  <c r="I897" i="1"/>
  <c r="J897" i="1"/>
  <c r="K897" i="1"/>
  <c r="L897" i="1"/>
  <c r="M897" i="1"/>
  <c r="O897" i="1"/>
  <c r="P897" i="1"/>
  <c r="A898" i="1"/>
  <c r="B898" i="1"/>
  <c r="D898" i="1"/>
  <c r="E898" i="1"/>
  <c r="F898" i="1"/>
  <c r="G898" i="1"/>
  <c r="H898" i="1"/>
  <c r="I898" i="1"/>
  <c r="J898" i="1"/>
  <c r="K898" i="1"/>
  <c r="L898" i="1"/>
  <c r="M898" i="1"/>
  <c r="O898" i="1"/>
  <c r="P898" i="1"/>
  <c r="A899" i="1"/>
  <c r="B899" i="1"/>
  <c r="D899" i="1"/>
  <c r="E899" i="1"/>
  <c r="F899" i="1"/>
  <c r="G899" i="1"/>
  <c r="H899" i="1"/>
  <c r="I899" i="1"/>
  <c r="J899" i="1"/>
  <c r="K899" i="1"/>
  <c r="L899" i="1"/>
  <c r="M899" i="1"/>
  <c r="O899" i="1"/>
  <c r="P899" i="1"/>
  <c r="A900" i="1"/>
  <c r="B900" i="1"/>
  <c r="D900" i="1"/>
  <c r="E900" i="1"/>
  <c r="F900" i="1"/>
  <c r="G900" i="1"/>
  <c r="H900" i="1"/>
  <c r="I900" i="1"/>
  <c r="J900" i="1"/>
  <c r="K900" i="1"/>
  <c r="L900" i="1"/>
  <c r="M900" i="1"/>
  <c r="O900" i="1"/>
  <c r="P900" i="1"/>
  <c r="A901" i="1"/>
  <c r="B901" i="1"/>
  <c r="D901" i="1"/>
  <c r="E901" i="1"/>
  <c r="F901" i="1"/>
  <c r="G901" i="1"/>
  <c r="H901" i="1"/>
  <c r="I901" i="1"/>
  <c r="J901" i="1"/>
  <c r="K901" i="1"/>
  <c r="L901" i="1"/>
  <c r="M901" i="1"/>
  <c r="O901" i="1"/>
  <c r="P901" i="1"/>
  <c r="A902" i="1"/>
  <c r="B902" i="1"/>
  <c r="D902" i="1"/>
  <c r="E902" i="1"/>
  <c r="F902" i="1"/>
  <c r="G902" i="1"/>
  <c r="H902" i="1"/>
  <c r="I902" i="1"/>
  <c r="J902" i="1"/>
  <c r="K902" i="1"/>
  <c r="L902" i="1"/>
  <c r="M902" i="1"/>
  <c r="O902" i="1"/>
  <c r="P902" i="1"/>
  <c r="A903" i="1"/>
  <c r="B903" i="1"/>
  <c r="D903" i="1"/>
  <c r="E903" i="1"/>
  <c r="F903" i="1"/>
  <c r="G903" i="1"/>
  <c r="H903" i="1"/>
  <c r="I903" i="1"/>
  <c r="J903" i="1"/>
  <c r="K903" i="1"/>
  <c r="L903" i="1"/>
  <c r="M903" i="1"/>
  <c r="O903" i="1"/>
  <c r="P903" i="1"/>
  <c r="A904" i="1"/>
  <c r="B904" i="1"/>
  <c r="D904" i="1"/>
  <c r="E904" i="1"/>
  <c r="F904" i="1"/>
  <c r="G904" i="1"/>
  <c r="H904" i="1"/>
  <c r="I904" i="1"/>
  <c r="J904" i="1"/>
  <c r="K904" i="1"/>
  <c r="L904" i="1"/>
  <c r="M904" i="1"/>
  <c r="O904" i="1"/>
  <c r="P904" i="1"/>
  <c r="A905" i="1"/>
  <c r="B905" i="1"/>
  <c r="D905" i="1"/>
  <c r="E905" i="1"/>
  <c r="F905" i="1"/>
  <c r="G905" i="1"/>
  <c r="H905" i="1"/>
  <c r="I905" i="1"/>
  <c r="J905" i="1"/>
  <c r="K905" i="1"/>
  <c r="L905" i="1"/>
  <c r="M905" i="1"/>
  <c r="O905" i="1"/>
  <c r="P905" i="1"/>
  <c r="A906" i="1"/>
  <c r="B906" i="1"/>
  <c r="D906" i="1"/>
  <c r="E906" i="1"/>
  <c r="F906" i="1"/>
  <c r="G906" i="1"/>
  <c r="H906" i="1"/>
  <c r="I906" i="1"/>
  <c r="J906" i="1"/>
  <c r="K906" i="1"/>
  <c r="L906" i="1"/>
  <c r="M906" i="1"/>
  <c r="O906" i="1"/>
  <c r="P906" i="1"/>
  <c r="A907" i="1"/>
  <c r="B907" i="1"/>
  <c r="D907" i="1"/>
  <c r="E907" i="1"/>
  <c r="F907" i="1"/>
  <c r="G907" i="1"/>
  <c r="H907" i="1"/>
  <c r="I907" i="1"/>
  <c r="J907" i="1"/>
  <c r="K907" i="1"/>
  <c r="L907" i="1"/>
  <c r="M907" i="1"/>
  <c r="O907" i="1"/>
  <c r="P907" i="1"/>
  <c r="A908" i="1"/>
  <c r="B908" i="1"/>
  <c r="D908" i="1"/>
  <c r="E908" i="1"/>
  <c r="F908" i="1"/>
  <c r="G908" i="1"/>
  <c r="H908" i="1"/>
  <c r="I908" i="1"/>
  <c r="J908" i="1"/>
  <c r="K908" i="1"/>
  <c r="L908" i="1"/>
  <c r="M908" i="1"/>
  <c r="O908" i="1"/>
  <c r="P908" i="1"/>
  <c r="A909" i="1"/>
  <c r="B909" i="1"/>
  <c r="D909" i="1"/>
  <c r="E909" i="1"/>
  <c r="F909" i="1"/>
  <c r="G909" i="1"/>
  <c r="H909" i="1"/>
  <c r="I909" i="1"/>
  <c r="J909" i="1"/>
  <c r="K909" i="1"/>
  <c r="L909" i="1"/>
  <c r="M909" i="1"/>
  <c r="O909" i="1"/>
  <c r="P909" i="1"/>
  <c r="A910" i="1"/>
  <c r="B910" i="1"/>
  <c r="D910" i="1"/>
  <c r="E910" i="1"/>
  <c r="F910" i="1"/>
  <c r="G910" i="1"/>
  <c r="H910" i="1"/>
  <c r="I910" i="1"/>
  <c r="J910" i="1"/>
  <c r="K910" i="1"/>
  <c r="L910" i="1"/>
  <c r="M910" i="1"/>
  <c r="O910" i="1"/>
  <c r="P910" i="1"/>
  <c r="A911" i="1"/>
  <c r="B911" i="1"/>
  <c r="D911" i="1"/>
  <c r="E911" i="1"/>
  <c r="F911" i="1"/>
  <c r="G911" i="1"/>
  <c r="H911" i="1"/>
  <c r="I911" i="1"/>
  <c r="J911" i="1"/>
  <c r="K911" i="1"/>
  <c r="L911" i="1"/>
  <c r="M911" i="1"/>
  <c r="O911" i="1"/>
  <c r="P911" i="1"/>
  <c r="A912" i="1"/>
  <c r="B912" i="1"/>
  <c r="D912" i="1"/>
  <c r="E912" i="1"/>
  <c r="F912" i="1"/>
  <c r="G912" i="1"/>
  <c r="H912" i="1"/>
  <c r="I912" i="1"/>
  <c r="J912" i="1"/>
  <c r="K912" i="1"/>
  <c r="L912" i="1"/>
  <c r="M912" i="1"/>
  <c r="O912" i="1"/>
  <c r="P912" i="1"/>
  <c r="A913" i="1"/>
  <c r="B913" i="1"/>
  <c r="D913" i="1"/>
  <c r="E913" i="1"/>
  <c r="F913" i="1"/>
  <c r="G913" i="1"/>
  <c r="H913" i="1"/>
  <c r="I913" i="1"/>
  <c r="J913" i="1"/>
  <c r="K913" i="1"/>
  <c r="L913" i="1"/>
  <c r="M913" i="1"/>
  <c r="O913" i="1"/>
  <c r="P913" i="1"/>
  <c r="A914" i="1"/>
  <c r="B914" i="1"/>
  <c r="D914" i="1"/>
  <c r="E914" i="1"/>
  <c r="F914" i="1"/>
  <c r="G914" i="1"/>
  <c r="H914" i="1"/>
  <c r="I914" i="1"/>
  <c r="J914" i="1"/>
  <c r="K914" i="1"/>
  <c r="L914" i="1"/>
  <c r="M914" i="1"/>
  <c r="O914" i="1"/>
  <c r="P914" i="1"/>
  <c r="A915" i="1"/>
  <c r="B915" i="1"/>
  <c r="D915" i="1"/>
  <c r="E915" i="1"/>
  <c r="F915" i="1"/>
  <c r="G915" i="1"/>
  <c r="H915" i="1"/>
  <c r="I915" i="1"/>
  <c r="J915" i="1"/>
  <c r="K915" i="1"/>
  <c r="L915" i="1"/>
  <c r="M915" i="1"/>
  <c r="O915" i="1"/>
  <c r="P915" i="1"/>
  <c r="A916" i="1"/>
  <c r="B916" i="1"/>
  <c r="D916" i="1"/>
  <c r="E916" i="1"/>
  <c r="F916" i="1"/>
  <c r="G916" i="1"/>
  <c r="H916" i="1"/>
  <c r="I916" i="1"/>
  <c r="J916" i="1"/>
  <c r="K916" i="1"/>
  <c r="L916" i="1"/>
  <c r="M916" i="1"/>
  <c r="O916" i="1"/>
  <c r="P916" i="1"/>
  <c r="A917" i="1"/>
  <c r="B917" i="1"/>
  <c r="D917" i="1"/>
  <c r="E917" i="1"/>
  <c r="F917" i="1"/>
  <c r="G917" i="1"/>
  <c r="H917" i="1"/>
  <c r="I917" i="1"/>
  <c r="J917" i="1"/>
  <c r="K917" i="1"/>
  <c r="L917" i="1"/>
  <c r="M917" i="1"/>
  <c r="O917" i="1"/>
  <c r="P917" i="1"/>
  <c r="A918" i="1"/>
  <c r="B918" i="1"/>
  <c r="D918" i="1"/>
  <c r="E918" i="1"/>
  <c r="F918" i="1"/>
  <c r="G918" i="1"/>
  <c r="H918" i="1"/>
  <c r="I918" i="1"/>
  <c r="J918" i="1"/>
  <c r="K918" i="1"/>
  <c r="L918" i="1"/>
  <c r="M918" i="1"/>
  <c r="O918" i="1"/>
  <c r="P918" i="1"/>
  <c r="A919" i="1"/>
  <c r="B919" i="1"/>
  <c r="D919" i="1"/>
  <c r="E919" i="1"/>
  <c r="F919" i="1"/>
  <c r="G919" i="1"/>
  <c r="H919" i="1"/>
  <c r="I919" i="1"/>
  <c r="J919" i="1"/>
  <c r="K919" i="1"/>
  <c r="L919" i="1"/>
  <c r="M919" i="1"/>
  <c r="O919" i="1"/>
  <c r="P919" i="1"/>
  <c r="A920" i="1"/>
  <c r="B920" i="1"/>
  <c r="D920" i="1"/>
  <c r="E920" i="1"/>
  <c r="F920" i="1"/>
  <c r="G920" i="1"/>
  <c r="H920" i="1"/>
  <c r="I920" i="1"/>
  <c r="J920" i="1"/>
  <c r="K920" i="1"/>
  <c r="L920" i="1"/>
  <c r="M920" i="1"/>
  <c r="O920" i="1"/>
  <c r="P920" i="1"/>
  <c r="A921" i="1"/>
  <c r="B921" i="1"/>
  <c r="D921" i="1"/>
  <c r="E921" i="1"/>
  <c r="F921" i="1"/>
  <c r="G921" i="1"/>
  <c r="H921" i="1"/>
  <c r="I921" i="1"/>
  <c r="J921" i="1"/>
  <c r="K921" i="1"/>
  <c r="L921" i="1"/>
  <c r="M921" i="1"/>
  <c r="O921" i="1"/>
  <c r="P921" i="1"/>
  <c r="A922" i="1"/>
  <c r="B922" i="1"/>
  <c r="D922" i="1"/>
  <c r="E922" i="1"/>
  <c r="F922" i="1"/>
  <c r="G922" i="1"/>
  <c r="H922" i="1"/>
  <c r="I922" i="1"/>
  <c r="J922" i="1"/>
  <c r="K922" i="1"/>
  <c r="L922" i="1"/>
  <c r="M922" i="1"/>
  <c r="O922" i="1"/>
  <c r="P922" i="1"/>
  <c r="A923" i="1"/>
  <c r="B923" i="1"/>
  <c r="D923" i="1"/>
  <c r="E923" i="1"/>
  <c r="F923" i="1"/>
  <c r="G923" i="1"/>
  <c r="H923" i="1"/>
  <c r="I923" i="1"/>
  <c r="J923" i="1"/>
  <c r="K923" i="1"/>
  <c r="L923" i="1"/>
  <c r="M923" i="1"/>
  <c r="O923" i="1"/>
  <c r="P923" i="1"/>
  <c r="A924" i="1"/>
  <c r="B924" i="1"/>
  <c r="D924" i="1"/>
  <c r="E924" i="1"/>
  <c r="F924" i="1"/>
  <c r="G924" i="1"/>
  <c r="H924" i="1"/>
  <c r="I924" i="1"/>
  <c r="J924" i="1"/>
  <c r="K924" i="1"/>
  <c r="L924" i="1"/>
  <c r="M924" i="1"/>
  <c r="O924" i="1"/>
  <c r="P924" i="1"/>
  <c r="A925" i="1"/>
  <c r="B925" i="1"/>
  <c r="D925" i="1"/>
  <c r="E925" i="1"/>
  <c r="F925" i="1"/>
  <c r="G925" i="1"/>
  <c r="H925" i="1"/>
  <c r="I925" i="1"/>
  <c r="J925" i="1"/>
  <c r="K925" i="1"/>
  <c r="L925" i="1"/>
  <c r="M925" i="1"/>
  <c r="O925" i="1"/>
  <c r="P925" i="1"/>
  <c r="A926" i="1"/>
  <c r="B926" i="1"/>
  <c r="D926" i="1"/>
  <c r="E926" i="1"/>
  <c r="F926" i="1"/>
  <c r="G926" i="1"/>
  <c r="H926" i="1"/>
  <c r="I926" i="1"/>
  <c r="J926" i="1"/>
  <c r="K926" i="1"/>
  <c r="L926" i="1"/>
  <c r="M926" i="1"/>
  <c r="O926" i="1"/>
  <c r="P926" i="1"/>
  <c r="A927" i="1"/>
  <c r="B927" i="1"/>
  <c r="D927" i="1"/>
  <c r="E927" i="1"/>
  <c r="F927" i="1"/>
  <c r="G927" i="1"/>
  <c r="H927" i="1"/>
  <c r="I927" i="1"/>
  <c r="J927" i="1"/>
  <c r="K927" i="1"/>
  <c r="L927" i="1"/>
  <c r="M927" i="1"/>
  <c r="O927" i="1"/>
  <c r="P927" i="1"/>
  <c r="A928" i="1"/>
  <c r="B928" i="1"/>
  <c r="D928" i="1"/>
  <c r="E928" i="1"/>
  <c r="F928" i="1"/>
  <c r="G928" i="1"/>
  <c r="H928" i="1"/>
  <c r="I928" i="1"/>
  <c r="J928" i="1"/>
  <c r="K928" i="1"/>
  <c r="L928" i="1"/>
  <c r="M928" i="1"/>
  <c r="O928" i="1"/>
  <c r="P928" i="1"/>
  <c r="A929" i="1"/>
  <c r="B929" i="1"/>
  <c r="D929" i="1"/>
  <c r="E929" i="1"/>
  <c r="F929" i="1"/>
  <c r="G929" i="1"/>
  <c r="H929" i="1"/>
  <c r="I929" i="1"/>
  <c r="J929" i="1"/>
  <c r="K929" i="1"/>
  <c r="L929" i="1"/>
  <c r="M929" i="1"/>
  <c r="O929" i="1"/>
  <c r="P929" i="1"/>
  <c r="A930" i="1"/>
  <c r="B930" i="1"/>
  <c r="D930" i="1"/>
  <c r="E930" i="1"/>
  <c r="F930" i="1"/>
  <c r="G930" i="1"/>
  <c r="H930" i="1"/>
  <c r="I930" i="1"/>
  <c r="J930" i="1"/>
  <c r="K930" i="1"/>
  <c r="L930" i="1"/>
  <c r="M930" i="1"/>
  <c r="O930" i="1"/>
  <c r="P930" i="1"/>
  <c r="A931" i="1"/>
  <c r="B931" i="1"/>
  <c r="D931" i="1"/>
  <c r="E931" i="1"/>
  <c r="F931" i="1"/>
  <c r="G931" i="1"/>
  <c r="H931" i="1"/>
  <c r="I931" i="1"/>
  <c r="J931" i="1"/>
  <c r="K931" i="1"/>
  <c r="L931" i="1"/>
  <c r="M931" i="1"/>
  <c r="O931" i="1"/>
  <c r="P931" i="1"/>
  <c r="A932" i="1"/>
  <c r="B932" i="1"/>
  <c r="D932" i="1"/>
  <c r="E932" i="1"/>
  <c r="F932" i="1"/>
  <c r="G932" i="1"/>
  <c r="H932" i="1"/>
  <c r="I932" i="1"/>
  <c r="J932" i="1"/>
  <c r="K932" i="1"/>
  <c r="L932" i="1"/>
  <c r="M932" i="1"/>
  <c r="O932" i="1"/>
  <c r="P932" i="1"/>
  <c r="A933" i="1"/>
  <c r="B933" i="1"/>
  <c r="D933" i="1"/>
  <c r="E933" i="1"/>
  <c r="F933" i="1"/>
  <c r="G933" i="1"/>
  <c r="H933" i="1"/>
  <c r="I933" i="1"/>
  <c r="J933" i="1"/>
  <c r="K933" i="1"/>
  <c r="L933" i="1"/>
  <c r="M933" i="1"/>
  <c r="O933" i="1"/>
  <c r="P933" i="1"/>
  <c r="A934" i="1"/>
  <c r="B934" i="1"/>
  <c r="D934" i="1"/>
  <c r="E934" i="1"/>
  <c r="F934" i="1"/>
  <c r="G934" i="1"/>
  <c r="H934" i="1"/>
  <c r="I934" i="1"/>
  <c r="J934" i="1"/>
  <c r="K934" i="1"/>
  <c r="L934" i="1"/>
  <c r="M934" i="1"/>
  <c r="O934" i="1"/>
  <c r="P934" i="1"/>
  <c r="A935" i="1"/>
  <c r="B935" i="1"/>
  <c r="D935" i="1"/>
  <c r="E935" i="1"/>
  <c r="F935" i="1"/>
  <c r="G935" i="1"/>
  <c r="H935" i="1"/>
  <c r="I935" i="1"/>
  <c r="J935" i="1"/>
  <c r="K935" i="1"/>
  <c r="L935" i="1"/>
  <c r="M935" i="1"/>
  <c r="O935" i="1"/>
  <c r="P935" i="1"/>
  <c r="A936" i="1"/>
  <c r="B936" i="1"/>
  <c r="D936" i="1"/>
  <c r="E936" i="1"/>
  <c r="F936" i="1"/>
  <c r="G936" i="1"/>
  <c r="H936" i="1"/>
  <c r="I936" i="1"/>
  <c r="J936" i="1"/>
  <c r="K936" i="1"/>
  <c r="L936" i="1"/>
  <c r="M936" i="1"/>
  <c r="O936" i="1"/>
  <c r="P936" i="1"/>
  <c r="A937" i="1"/>
  <c r="B937" i="1"/>
  <c r="D937" i="1"/>
  <c r="E937" i="1"/>
  <c r="F937" i="1"/>
  <c r="G937" i="1"/>
  <c r="H937" i="1"/>
  <c r="I937" i="1"/>
  <c r="J937" i="1"/>
  <c r="K937" i="1"/>
  <c r="L937" i="1"/>
  <c r="M937" i="1"/>
  <c r="O937" i="1"/>
  <c r="P937" i="1"/>
  <c r="A938" i="1"/>
  <c r="B938" i="1"/>
  <c r="D938" i="1"/>
  <c r="E938" i="1"/>
  <c r="F938" i="1"/>
  <c r="G938" i="1"/>
  <c r="H938" i="1"/>
  <c r="I938" i="1"/>
  <c r="J938" i="1"/>
  <c r="K938" i="1"/>
  <c r="L938" i="1"/>
  <c r="M938" i="1"/>
  <c r="O938" i="1"/>
  <c r="P938" i="1"/>
  <c r="A939" i="1"/>
  <c r="B939" i="1"/>
  <c r="D939" i="1"/>
  <c r="E939" i="1"/>
  <c r="F939" i="1"/>
  <c r="G939" i="1"/>
  <c r="H939" i="1"/>
  <c r="I939" i="1"/>
  <c r="J939" i="1"/>
  <c r="K939" i="1"/>
  <c r="L939" i="1"/>
  <c r="M939" i="1"/>
  <c r="O939" i="1"/>
  <c r="P939" i="1"/>
  <c r="A940" i="1"/>
  <c r="B940" i="1"/>
  <c r="D940" i="1"/>
  <c r="E940" i="1"/>
  <c r="F940" i="1"/>
  <c r="G940" i="1"/>
  <c r="H940" i="1"/>
  <c r="I940" i="1"/>
  <c r="J940" i="1"/>
  <c r="K940" i="1"/>
  <c r="L940" i="1"/>
  <c r="M940" i="1"/>
  <c r="O940" i="1"/>
  <c r="P940" i="1"/>
  <c r="A941" i="1"/>
  <c r="B941" i="1"/>
  <c r="D941" i="1"/>
  <c r="E941" i="1"/>
  <c r="F941" i="1"/>
  <c r="G941" i="1"/>
  <c r="H941" i="1"/>
  <c r="I941" i="1"/>
  <c r="J941" i="1"/>
  <c r="K941" i="1"/>
  <c r="L941" i="1"/>
  <c r="M941" i="1"/>
  <c r="O941" i="1"/>
  <c r="P941" i="1"/>
  <c r="A942" i="1"/>
  <c r="B942" i="1"/>
  <c r="D942" i="1"/>
  <c r="E942" i="1"/>
  <c r="F942" i="1"/>
  <c r="G942" i="1"/>
  <c r="H942" i="1"/>
  <c r="I942" i="1"/>
  <c r="J942" i="1"/>
  <c r="K942" i="1"/>
  <c r="L942" i="1"/>
  <c r="M942" i="1"/>
  <c r="O942" i="1"/>
  <c r="P942" i="1"/>
  <c r="A943" i="1"/>
  <c r="B943" i="1"/>
  <c r="D943" i="1"/>
  <c r="E943" i="1"/>
  <c r="F943" i="1"/>
  <c r="G943" i="1"/>
  <c r="H943" i="1"/>
  <c r="I943" i="1"/>
  <c r="J943" i="1"/>
  <c r="K943" i="1"/>
  <c r="L943" i="1"/>
  <c r="M943" i="1"/>
  <c r="O943" i="1"/>
  <c r="P943" i="1"/>
  <c r="A944" i="1"/>
  <c r="B944" i="1"/>
  <c r="D944" i="1"/>
  <c r="E944" i="1"/>
  <c r="F944" i="1"/>
  <c r="G944" i="1"/>
  <c r="H944" i="1"/>
  <c r="I944" i="1"/>
  <c r="J944" i="1"/>
  <c r="K944" i="1"/>
  <c r="L944" i="1"/>
  <c r="M944" i="1"/>
  <c r="O944" i="1"/>
  <c r="P944" i="1"/>
  <c r="A945" i="1"/>
  <c r="B945" i="1"/>
  <c r="D945" i="1"/>
  <c r="E945" i="1"/>
  <c r="F945" i="1"/>
  <c r="G945" i="1"/>
  <c r="H945" i="1"/>
  <c r="I945" i="1"/>
  <c r="J945" i="1"/>
  <c r="K945" i="1"/>
  <c r="L945" i="1"/>
  <c r="M945" i="1"/>
  <c r="O945" i="1"/>
  <c r="P945" i="1"/>
  <c r="A946" i="1"/>
  <c r="B946" i="1"/>
  <c r="D946" i="1"/>
  <c r="E946" i="1"/>
  <c r="F946" i="1"/>
  <c r="G946" i="1"/>
  <c r="H946" i="1"/>
  <c r="I946" i="1"/>
  <c r="J946" i="1"/>
  <c r="K946" i="1"/>
  <c r="L946" i="1"/>
  <c r="M946" i="1"/>
  <c r="O946" i="1"/>
  <c r="P946" i="1"/>
  <c r="A947" i="1"/>
  <c r="B947" i="1"/>
  <c r="D947" i="1"/>
  <c r="E947" i="1"/>
  <c r="F947" i="1"/>
  <c r="G947" i="1"/>
  <c r="H947" i="1"/>
  <c r="I947" i="1"/>
  <c r="J947" i="1"/>
  <c r="K947" i="1"/>
  <c r="L947" i="1"/>
  <c r="M947" i="1"/>
  <c r="O947" i="1"/>
  <c r="P947" i="1"/>
  <c r="A948" i="1"/>
  <c r="B948" i="1"/>
  <c r="D948" i="1"/>
  <c r="E948" i="1"/>
  <c r="F948" i="1"/>
  <c r="G948" i="1"/>
  <c r="H948" i="1"/>
  <c r="I948" i="1"/>
  <c r="J948" i="1"/>
  <c r="K948" i="1"/>
  <c r="L948" i="1"/>
  <c r="M948" i="1"/>
  <c r="O948" i="1"/>
  <c r="P948" i="1"/>
  <c r="A949" i="1"/>
  <c r="B949" i="1"/>
  <c r="D949" i="1"/>
  <c r="E949" i="1"/>
  <c r="F949" i="1"/>
  <c r="G949" i="1"/>
  <c r="H949" i="1"/>
  <c r="I949" i="1"/>
  <c r="J949" i="1"/>
  <c r="K949" i="1"/>
  <c r="L949" i="1"/>
  <c r="M949" i="1"/>
  <c r="O949" i="1"/>
  <c r="P949" i="1"/>
  <c r="A950" i="1"/>
  <c r="B950" i="1"/>
  <c r="D950" i="1"/>
  <c r="E950" i="1"/>
  <c r="F950" i="1"/>
  <c r="G950" i="1"/>
  <c r="H950" i="1"/>
  <c r="I950" i="1"/>
  <c r="J950" i="1"/>
  <c r="K950" i="1"/>
  <c r="L950" i="1"/>
  <c r="M950" i="1"/>
  <c r="O950" i="1"/>
  <c r="P950" i="1"/>
  <c r="A951" i="1"/>
  <c r="B951" i="1"/>
  <c r="D951" i="1"/>
  <c r="E951" i="1"/>
  <c r="F951" i="1"/>
  <c r="G951" i="1"/>
  <c r="H951" i="1"/>
  <c r="I951" i="1"/>
  <c r="J951" i="1"/>
  <c r="K951" i="1"/>
  <c r="L951" i="1"/>
  <c r="M951" i="1"/>
  <c r="O951" i="1"/>
  <c r="P951" i="1"/>
  <c r="A952" i="1"/>
  <c r="B952" i="1"/>
  <c r="D952" i="1"/>
  <c r="E952" i="1"/>
  <c r="F952" i="1"/>
  <c r="G952" i="1"/>
  <c r="H952" i="1"/>
  <c r="I952" i="1"/>
  <c r="J952" i="1"/>
  <c r="K952" i="1"/>
  <c r="L952" i="1"/>
  <c r="M952" i="1"/>
  <c r="O952" i="1"/>
  <c r="P952" i="1"/>
  <c r="A953" i="1"/>
  <c r="B953" i="1"/>
  <c r="D953" i="1"/>
  <c r="E953" i="1"/>
  <c r="F953" i="1"/>
  <c r="G953" i="1"/>
  <c r="H953" i="1"/>
  <c r="I953" i="1"/>
  <c r="J953" i="1"/>
  <c r="K953" i="1"/>
  <c r="L953" i="1"/>
  <c r="M953" i="1"/>
  <c r="O953" i="1"/>
  <c r="P953" i="1"/>
  <c r="A954" i="1"/>
  <c r="B954" i="1"/>
  <c r="D954" i="1"/>
  <c r="E954" i="1"/>
  <c r="F954" i="1"/>
  <c r="G954" i="1"/>
  <c r="H954" i="1"/>
  <c r="I954" i="1"/>
  <c r="J954" i="1"/>
  <c r="K954" i="1"/>
  <c r="L954" i="1"/>
  <c r="M954" i="1"/>
  <c r="O954" i="1"/>
  <c r="P954" i="1"/>
  <c r="A955" i="1"/>
  <c r="B955" i="1"/>
  <c r="D955" i="1"/>
  <c r="E955" i="1"/>
  <c r="F955" i="1"/>
  <c r="G955" i="1"/>
  <c r="H955" i="1"/>
  <c r="I955" i="1"/>
  <c r="J955" i="1"/>
  <c r="K955" i="1"/>
  <c r="L955" i="1"/>
  <c r="M955" i="1"/>
  <c r="O955" i="1"/>
  <c r="P955" i="1"/>
  <c r="A956" i="1"/>
  <c r="B956" i="1"/>
  <c r="D956" i="1"/>
  <c r="E956" i="1"/>
  <c r="F956" i="1"/>
  <c r="G956" i="1"/>
  <c r="H956" i="1"/>
  <c r="I956" i="1"/>
  <c r="J956" i="1"/>
  <c r="K956" i="1"/>
  <c r="L956" i="1"/>
  <c r="M956" i="1"/>
  <c r="O956" i="1"/>
  <c r="P956" i="1"/>
  <c r="A957" i="1"/>
  <c r="B957" i="1"/>
  <c r="D957" i="1"/>
  <c r="E957" i="1"/>
  <c r="F957" i="1"/>
  <c r="G957" i="1"/>
  <c r="H957" i="1"/>
  <c r="I957" i="1"/>
  <c r="J957" i="1"/>
  <c r="K957" i="1"/>
  <c r="L957" i="1"/>
  <c r="M957" i="1"/>
  <c r="O957" i="1"/>
  <c r="P957" i="1"/>
  <c r="A958" i="1"/>
  <c r="B958" i="1"/>
  <c r="D958" i="1"/>
  <c r="E958" i="1"/>
  <c r="F958" i="1"/>
  <c r="G958" i="1"/>
  <c r="H958" i="1"/>
  <c r="I958" i="1"/>
  <c r="J958" i="1"/>
  <c r="K958" i="1"/>
  <c r="L958" i="1"/>
  <c r="M958" i="1"/>
  <c r="O958" i="1"/>
  <c r="P958" i="1"/>
  <c r="A959" i="1"/>
  <c r="B959" i="1"/>
  <c r="D959" i="1"/>
  <c r="E959" i="1"/>
  <c r="F959" i="1"/>
  <c r="G959" i="1"/>
  <c r="H959" i="1"/>
  <c r="I959" i="1"/>
  <c r="J959" i="1"/>
  <c r="K959" i="1"/>
  <c r="L959" i="1"/>
  <c r="M959" i="1"/>
  <c r="O959" i="1"/>
  <c r="P959" i="1"/>
  <c r="A960" i="1"/>
  <c r="B960" i="1"/>
  <c r="D960" i="1"/>
  <c r="E960" i="1"/>
  <c r="F960" i="1"/>
  <c r="G960" i="1"/>
  <c r="H960" i="1"/>
  <c r="I960" i="1"/>
  <c r="J960" i="1"/>
  <c r="K960" i="1"/>
  <c r="L960" i="1"/>
  <c r="M960" i="1"/>
  <c r="O960" i="1"/>
  <c r="P960" i="1"/>
  <c r="A961" i="1"/>
  <c r="B961" i="1"/>
  <c r="D961" i="1"/>
  <c r="E961" i="1"/>
  <c r="F961" i="1"/>
  <c r="G961" i="1"/>
  <c r="H961" i="1"/>
  <c r="I961" i="1"/>
  <c r="J961" i="1"/>
  <c r="K961" i="1"/>
  <c r="L961" i="1"/>
  <c r="M961" i="1"/>
  <c r="O961" i="1"/>
  <c r="P961" i="1"/>
  <c r="A962" i="1"/>
  <c r="B962" i="1"/>
  <c r="D962" i="1"/>
  <c r="E962" i="1"/>
  <c r="F962" i="1"/>
  <c r="G962" i="1"/>
  <c r="H962" i="1"/>
  <c r="I962" i="1"/>
  <c r="J962" i="1"/>
  <c r="K962" i="1"/>
  <c r="L962" i="1"/>
  <c r="M962" i="1"/>
  <c r="O962" i="1"/>
  <c r="P962" i="1"/>
  <c r="A963" i="1"/>
  <c r="B963" i="1"/>
  <c r="D963" i="1"/>
  <c r="E963" i="1"/>
  <c r="F963" i="1"/>
  <c r="G963" i="1"/>
  <c r="H963" i="1"/>
  <c r="I963" i="1"/>
  <c r="J963" i="1"/>
  <c r="K963" i="1"/>
  <c r="L963" i="1"/>
  <c r="M963" i="1"/>
  <c r="O963" i="1"/>
  <c r="P963" i="1"/>
  <c r="A964" i="1"/>
  <c r="B964" i="1"/>
  <c r="D964" i="1"/>
  <c r="E964" i="1"/>
  <c r="F964" i="1"/>
  <c r="G964" i="1"/>
  <c r="H964" i="1"/>
  <c r="I964" i="1"/>
  <c r="J964" i="1"/>
  <c r="K964" i="1"/>
  <c r="L964" i="1"/>
  <c r="M964" i="1"/>
  <c r="O964" i="1"/>
  <c r="P964" i="1"/>
  <c r="A965" i="1"/>
  <c r="B965" i="1"/>
  <c r="D965" i="1"/>
  <c r="E965" i="1"/>
  <c r="F965" i="1"/>
  <c r="G965" i="1"/>
  <c r="H965" i="1"/>
  <c r="I965" i="1"/>
  <c r="J965" i="1"/>
  <c r="K965" i="1"/>
  <c r="L965" i="1"/>
  <c r="M965" i="1"/>
  <c r="O965" i="1"/>
  <c r="P965" i="1"/>
  <c r="A966" i="1"/>
  <c r="B966" i="1"/>
  <c r="D966" i="1"/>
  <c r="E966" i="1"/>
  <c r="F966" i="1"/>
  <c r="G966" i="1"/>
  <c r="H966" i="1"/>
  <c r="I966" i="1"/>
  <c r="J966" i="1"/>
  <c r="K966" i="1"/>
  <c r="L966" i="1"/>
  <c r="M966" i="1"/>
  <c r="O966" i="1"/>
  <c r="P966" i="1"/>
  <c r="A967" i="1"/>
  <c r="B967" i="1"/>
  <c r="D967" i="1"/>
  <c r="E967" i="1"/>
  <c r="F967" i="1"/>
  <c r="G967" i="1"/>
  <c r="H967" i="1"/>
  <c r="I967" i="1"/>
  <c r="J967" i="1"/>
  <c r="K967" i="1"/>
  <c r="L967" i="1"/>
  <c r="M967" i="1"/>
  <c r="O967" i="1"/>
  <c r="P967" i="1"/>
  <c r="A968" i="1"/>
  <c r="B968" i="1"/>
  <c r="D968" i="1"/>
  <c r="E968" i="1"/>
  <c r="F968" i="1"/>
  <c r="G968" i="1"/>
  <c r="H968" i="1"/>
  <c r="I968" i="1"/>
  <c r="J968" i="1"/>
  <c r="K968" i="1"/>
  <c r="L968" i="1"/>
  <c r="M968" i="1"/>
  <c r="O968" i="1"/>
  <c r="P968" i="1"/>
  <c r="A969" i="1"/>
  <c r="B969" i="1"/>
  <c r="D969" i="1"/>
  <c r="E969" i="1"/>
  <c r="F969" i="1"/>
  <c r="G969" i="1"/>
  <c r="H969" i="1"/>
  <c r="I969" i="1"/>
  <c r="J969" i="1"/>
  <c r="K969" i="1"/>
  <c r="L969" i="1"/>
  <c r="M969" i="1"/>
  <c r="O969" i="1"/>
  <c r="P969" i="1"/>
  <c r="A970" i="1"/>
  <c r="B970" i="1"/>
  <c r="D970" i="1"/>
  <c r="E970" i="1"/>
  <c r="F970" i="1"/>
  <c r="G970" i="1"/>
  <c r="H970" i="1"/>
  <c r="I970" i="1"/>
  <c r="J970" i="1"/>
  <c r="K970" i="1"/>
  <c r="L970" i="1"/>
  <c r="M970" i="1"/>
  <c r="O970" i="1"/>
  <c r="P970" i="1"/>
  <c r="A971" i="1"/>
  <c r="B971" i="1"/>
  <c r="D971" i="1"/>
  <c r="E971" i="1"/>
  <c r="F971" i="1"/>
  <c r="G971" i="1"/>
  <c r="H971" i="1"/>
  <c r="I971" i="1"/>
  <c r="J971" i="1"/>
  <c r="K971" i="1"/>
  <c r="L971" i="1"/>
  <c r="M971" i="1"/>
  <c r="O971" i="1"/>
  <c r="P971" i="1"/>
  <c r="A972" i="1"/>
  <c r="B972" i="1"/>
  <c r="D972" i="1"/>
  <c r="E972" i="1"/>
  <c r="F972" i="1"/>
  <c r="G972" i="1"/>
  <c r="H972" i="1"/>
  <c r="I972" i="1"/>
  <c r="J972" i="1"/>
  <c r="K972" i="1"/>
  <c r="L972" i="1"/>
  <c r="M972" i="1"/>
  <c r="O972" i="1"/>
  <c r="P972" i="1"/>
  <c r="A973" i="1"/>
  <c r="B973" i="1"/>
  <c r="D973" i="1"/>
  <c r="E973" i="1"/>
  <c r="F973" i="1"/>
  <c r="G973" i="1"/>
  <c r="H973" i="1"/>
  <c r="I973" i="1"/>
  <c r="J973" i="1"/>
  <c r="K973" i="1"/>
  <c r="L973" i="1"/>
  <c r="M973" i="1"/>
  <c r="O973" i="1"/>
  <c r="P973" i="1"/>
  <c r="A974" i="1"/>
  <c r="B974" i="1"/>
  <c r="D974" i="1"/>
  <c r="E974" i="1"/>
  <c r="F974" i="1"/>
  <c r="G974" i="1"/>
  <c r="H974" i="1"/>
  <c r="I974" i="1"/>
  <c r="J974" i="1"/>
  <c r="K974" i="1"/>
  <c r="L974" i="1"/>
  <c r="M974" i="1"/>
  <c r="O974" i="1"/>
  <c r="P974" i="1"/>
  <c r="A975" i="1"/>
  <c r="B975" i="1"/>
  <c r="D975" i="1"/>
  <c r="E975" i="1"/>
  <c r="F975" i="1"/>
  <c r="G975" i="1"/>
  <c r="H975" i="1"/>
  <c r="I975" i="1"/>
  <c r="J975" i="1"/>
  <c r="K975" i="1"/>
  <c r="L975" i="1"/>
  <c r="M975" i="1"/>
  <c r="O975" i="1"/>
  <c r="P975" i="1"/>
  <c r="A976" i="1"/>
  <c r="B976" i="1"/>
  <c r="D976" i="1"/>
  <c r="E976" i="1"/>
  <c r="F976" i="1"/>
  <c r="G976" i="1"/>
  <c r="H976" i="1"/>
  <c r="I976" i="1"/>
  <c r="J976" i="1"/>
  <c r="K976" i="1"/>
  <c r="L976" i="1"/>
  <c r="M976" i="1"/>
  <c r="O976" i="1"/>
  <c r="P976" i="1"/>
  <c r="A977" i="1"/>
  <c r="B977" i="1"/>
  <c r="D977" i="1"/>
  <c r="E977" i="1"/>
  <c r="F977" i="1"/>
  <c r="G977" i="1"/>
  <c r="H977" i="1"/>
  <c r="I977" i="1"/>
  <c r="J977" i="1"/>
  <c r="K977" i="1"/>
  <c r="L977" i="1"/>
  <c r="M977" i="1"/>
  <c r="O977" i="1"/>
  <c r="P977" i="1"/>
  <c r="A978" i="1"/>
  <c r="B978" i="1"/>
  <c r="D978" i="1"/>
  <c r="E978" i="1"/>
  <c r="F978" i="1"/>
  <c r="G978" i="1"/>
  <c r="H978" i="1"/>
  <c r="I978" i="1"/>
  <c r="J978" i="1"/>
  <c r="K978" i="1"/>
  <c r="L978" i="1"/>
  <c r="M978" i="1"/>
  <c r="O978" i="1"/>
  <c r="P978" i="1"/>
  <c r="A979" i="1"/>
  <c r="B979" i="1"/>
  <c r="D979" i="1"/>
  <c r="E979" i="1"/>
  <c r="F979" i="1"/>
  <c r="G979" i="1"/>
  <c r="H979" i="1"/>
  <c r="I979" i="1"/>
  <c r="J979" i="1"/>
  <c r="K979" i="1"/>
  <c r="L979" i="1"/>
  <c r="M979" i="1"/>
  <c r="O979" i="1"/>
  <c r="P979" i="1"/>
  <c r="A980" i="1"/>
  <c r="B980" i="1"/>
  <c r="D980" i="1"/>
  <c r="E980" i="1"/>
  <c r="F980" i="1"/>
  <c r="G980" i="1"/>
  <c r="H980" i="1"/>
  <c r="I980" i="1"/>
  <c r="J980" i="1"/>
  <c r="K980" i="1"/>
  <c r="L980" i="1"/>
  <c r="M980" i="1"/>
  <c r="O980" i="1"/>
  <c r="P980" i="1"/>
  <c r="A981" i="1"/>
  <c r="B981" i="1"/>
  <c r="D981" i="1"/>
  <c r="E981" i="1"/>
  <c r="F981" i="1"/>
  <c r="G981" i="1"/>
  <c r="H981" i="1"/>
  <c r="I981" i="1"/>
  <c r="J981" i="1"/>
  <c r="K981" i="1"/>
  <c r="L981" i="1"/>
  <c r="M981" i="1"/>
  <c r="O981" i="1"/>
  <c r="P981" i="1"/>
  <c r="A982" i="1"/>
  <c r="B982" i="1"/>
  <c r="D982" i="1"/>
  <c r="E982" i="1"/>
  <c r="F982" i="1"/>
  <c r="G982" i="1"/>
  <c r="H982" i="1"/>
  <c r="I982" i="1"/>
  <c r="J982" i="1"/>
  <c r="K982" i="1"/>
  <c r="L982" i="1"/>
  <c r="M982" i="1"/>
  <c r="O982" i="1"/>
  <c r="P982" i="1"/>
  <c r="A983" i="1"/>
  <c r="B983" i="1"/>
  <c r="D983" i="1"/>
  <c r="E983" i="1"/>
  <c r="F983" i="1"/>
  <c r="G983" i="1"/>
  <c r="H983" i="1"/>
  <c r="I983" i="1"/>
  <c r="J983" i="1"/>
  <c r="K983" i="1"/>
  <c r="L983" i="1"/>
  <c r="M983" i="1"/>
  <c r="O983" i="1"/>
  <c r="P983" i="1"/>
  <c r="A984" i="1"/>
  <c r="B984" i="1"/>
  <c r="D984" i="1"/>
  <c r="E984" i="1"/>
  <c r="F984" i="1"/>
  <c r="G984" i="1"/>
  <c r="H984" i="1"/>
  <c r="I984" i="1"/>
  <c r="J984" i="1"/>
  <c r="K984" i="1"/>
  <c r="L984" i="1"/>
  <c r="M984" i="1"/>
  <c r="O984" i="1"/>
  <c r="P984" i="1"/>
  <c r="A985" i="1"/>
  <c r="B985" i="1"/>
  <c r="D985" i="1"/>
  <c r="E985" i="1"/>
  <c r="F985" i="1"/>
  <c r="G985" i="1"/>
  <c r="H985" i="1"/>
  <c r="I985" i="1"/>
  <c r="J985" i="1"/>
  <c r="K985" i="1"/>
  <c r="L985" i="1"/>
  <c r="M985" i="1"/>
  <c r="O985" i="1"/>
  <c r="P985" i="1"/>
  <c r="A986" i="1"/>
  <c r="B986" i="1"/>
  <c r="D986" i="1"/>
  <c r="E986" i="1"/>
  <c r="F986" i="1"/>
  <c r="G986" i="1"/>
  <c r="H986" i="1"/>
  <c r="I986" i="1"/>
  <c r="J986" i="1"/>
  <c r="K986" i="1"/>
  <c r="L986" i="1"/>
  <c r="M986" i="1"/>
  <c r="O986" i="1"/>
  <c r="P986" i="1"/>
  <c r="A987" i="1"/>
  <c r="B987" i="1"/>
  <c r="D987" i="1"/>
  <c r="E987" i="1"/>
  <c r="F987" i="1"/>
  <c r="G987" i="1"/>
  <c r="H987" i="1"/>
  <c r="I987" i="1"/>
  <c r="J987" i="1"/>
  <c r="K987" i="1"/>
  <c r="L987" i="1"/>
  <c r="M987" i="1"/>
  <c r="O987" i="1"/>
  <c r="P987" i="1"/>
  <c r="A988" i="1"/>
  <c r="B988" i="1"/>
  <c r="D988" i="1"/>
  <c r="E988" i="1"/>
  <c r="F988" i="1"/>
  <c r="G988" i="1"/>
  <c r="H988" i="1"/>
  <c r="I988" i="1"/>
  <c r="J988" i="1"/>
  <c r="K988" i="1"/>
  <c r="L988" i="1"/>
  <c r="M988" i="1"/>
  <c r="O988" i="1"/>
  <c r="P988" i="1"/>
  <c r="A989" i="1"/>
  <c r="B989" i="1"/>
  <c r="D989" i="1"/>
  <c r="E989" i="1"/>
  <c r="F989" i="1"/>
  <c r="G989" i="1"/>
  <c r="H989" i="1"/>
  <c r="I989" i="1"/>
  <c r="J989" i="1"/>
  <c r="K989" i="1"/>
  <c r="L989" i="1"/>
  <c r="M989" i="1"/>
  <c r="O989" i="1"/>
  <c r="P989" i="1"/>
  <c r="A990" i="1"/>
  <c r="B990" i="1"/>
  <c r="D990" i="1"/>
  <c r="E990" i="1"/>
  <c r="F990" i="1"/>
  <c r="G990" i="1"/>
  <c r="H990" i="1"/>
  <c r="I990" i="1"/>
  <c r="J990" i="1"/>
  <c r="K990" i="1"/>
  <c r="L990" i="1"/>
  <c r="M990" i="1"/>
  <c r="O990" i="1"/>
  <c r="P990" i="1"/>
  <c r="A991" i="1"/>
  <c r="B991" i="1"/>
  <c r="D991" i="1"/>
  <c r="E991" i="1"/>
  <c r="F991" i="1"/>
  <c r="G991" i="1"/>
  <c r="H991" i="1"/>
  <c r="I991" i="1"/>
  <c r="J991" i="1"/>
  <c r="K991" i="1"/>
  <c r="L991" i="1"/>
  <c r="M991" i="1"/>
  <c r="O991" i="1"/>
  <c r="P991" i="1"/>
  <c r="A992" i="1"/>
  <c r="B992" i="1"/>
  <c r="D992" i="1"/>
  <c r="E992" i="1"/>
  <c r="F992" i="1"/>
  <c r="G992" i="1"/>
  <c r="H992" i="1"/>
  <c r="I992" i="1"/>
  <c r="J992" i="1"/>
  <c r="K992" i="1"/>
  <c r="L992" i="1"/>
  <c r="M992" i="1"/>
  <c r="O992" i="1"/>
  <c r="P992" i="1"/>
  <c r="A993" i="1"/>
  <c r="B993" i="1"/>
  <c r="D993" i="1"/>
  <c r="E993" i="1"/>
  <c r="F993" i="1"/>
  <c r="G993" i="1"/>
  <c r="H993" i="1"/>
  <c r="I993" i="1"/>
  <c r="J993" i="1"/>
  <c r="K993" i="1"/>
  <c r="L993" i="1"/>
  <c r="M993" i="1"/>
  <c r="O993" i="1"/>
  <c r="P993" i="1"/>
  <c r="A994" i="1"/>
  <c r="B994" i="1"/>
  <c r="D994" i="1"/>
  <c r="E994" i="1"/>
  <c r="F994" i="1"/>
  <c r="G994" i="1"/>
  <c r="H994" i="1"/>
  <c r="I994" i="1"/>
  <c r="J994" i="1"/>
  <c r="K994" i="1"/>
  <c r="L994" i="1"/>
  <c r="M994" i="1"/>
  <c r="O994" i="1"/>
  <c r="P994" i="1"/>
  <c r="A995" i="1"/>
  <c r="B995" i="1"/>
  <c r="D995" i="1"/>
  <c r="E995" i="1"/>
  <c r="F995" i="1"/>
  <c r="G995" i="1"/>
  <c r="H995" i="1"/>
  <c r="I995" i="1"/>
  <c r="J995" i="1"/>
  <c r="K995" i="1"/>
  <c r="L995" i="1"/>
  <c r="M995" i="1"/>
  <c r="O995" i="1"/>
  <c r="P995" i="1"/>
  <c r="A996" i="1"/>
  <c r="B996" i="1"/>
  <c r="D996" i="1"/>
  <c r="E996" i="1"/>
  <c r="F996" i="1"/>
  <c r="G996" i="1"/>
  <c r="H996" i="1"/>
  <c r="I996" i="1"/>
  <c r="J996" i="1"/>
  <c r="K996" i="1"/>
  <c r="L996" i="1"/>
  <c r="M996" i="1"/>
  <c r="O996" i="1"/>
  <c r="P996" i="1"/>
  <c r="A997" i="1"/>
  <c r="B997" i="1"/>
  <c r="D997" i="1"/>
  <c r="E997" i="1"/>
  <c r="F997" i="1"/>
  <c r="G997" i="1"/>
  <c r="H997" i="1"/>
  <c r="I997" i="1"/>
  <c r="J997" i="1"/>
  <c r="K997" i="1"/>
  <c r="L997" i="1"/>
  <c r="M997" i="1"/>
  <c r="O997" i="1"/>
  <c r="P997" i="1"/>
  <c r="A998" i="1"/>
  <c r="B998" i="1"/>
  <c r="D998" i="1"/>
  <c r="E998" i="1"/>
  <c r="F998" i="1"/>
  <c r="G998" i="1"/>
  <c r="H998" i="1"/>
  <c r="I998" i="1"/>
  <c r="J998" i="1"/>
  <c r="K998" i="1"/>
  <c r="L998" i="1"/>
  <c r="M998" i="1"/>
  <c r="O998" i="1"/>
  <c r="P998" i="1"/>
  <c r="A999" i="1"/>
  <c r="B999" i="1"/>
  <c r="D999" i="1"/>
  <c r="E999" i="1"/>
  <c r="F999" i="1"/>
  <c r="G999" i="1"/>
  <c r="H999" i="1"/>
  <c r="I999" i="1"/>
  <c r="J999" i="1"/>
  <c r="K999" i="1"/>
  <c r="L999" i="1"/>
  <c r="M999" i="1"/>
  <c r="O999" i="1"/>
  <c r="P999" i="1"/>
  <c r="A1000" i="1"/>
  <c r="B1000" i="1"/>
  <c r="D1000" i="1"/>
  <c r="E1000" i="1"/>
  <c r="F1000" i="1"/>
  <c r="G1000" i="1"/>
  <c r="H1000" i="1"/>
  <c r="I1000" i="1"/>
  <c r="J1000" i="1"/>
  <c r="K1000" i="1"/>
  <c r="L1000" i="1"/>
  <c r="M1000" i="1"/>
  <c r="O1000" i="1"/>
  <c r="P1000" i="1"/>
  <c r="A1001" i="1"/>
  <c r="B1001" i="1"/>
  <c r="D1001" i="1"/>
  <c r="E1001" i="1"/>
  <c r="F1001" i="1"/>
  <c r="G1001" i="1"/>
  <c r="H1001" i="1"/>
  <c r="I1001" i="1"/>
  <c r="J1001" i="1"/>
  <c r="K1001" i="1"/>
  <c r="L1001" i="1"/>
  <c r="M1001" i="1"/>
  <c r="O1001" i="1"/>
  <c r="P1001" i="1"/>
  <c r="A1002" i="1"/>
  <c r="B1002" i="1"/>
  <c r="D1002" i="1"/>
  <c r="E1002" i="1"/>
  <c r="F1002" i="1"/>
  <c r="G1002" i="1"/>
  <c r="H1002" i="1"/>
  <c r="I1002" i="1"/>
  <c r="J1002" i="1"/>
  <c r="K1002" i="1"/>
  <c r="L1002" i="1"/>
  <c r="M1002" i="1"/>
  <c r="O1002" i="1"/>
  <c r="P1002" i="1"/>
  <c r="A1003" i="1"/>
  <c r="B1003" i="1"/>
  <c r="D1003" i="1"/>
  <c r="E1003" i="1"/>
  <c r="F1003" i="1"/>
  <c r="G1003" i="1"/>
  <c r="H1003" i="1"/>
  <c r="I1003" i="1"/>
  <c r="J1003" i="1"/>
  <c r="K1003" i="1"/>
  <c r="L1003" i="1"/>
  <c r="M1003" i="1"/>
  <c r="O1003" i="1"/>
  <c r="P1003" i="1"/>
  <c r="A1004" i="1"/>
  <c r="B1004" i="1"/>
  <c r="D1004" i="1"/>
  <c r="E1004" i="1"/>
  <c r="F1004" i="1"/>
  <c r="G1004" i="1"/>
  <c r="H1004" i="1"/>
  <c r="I1004" i="1"/>
  <c r="J1004" i="1"/>
  <c r="K1004" i="1"/>
  <c r="L1004" i="1"/>
  <c r="M1004" i="1"/>
  <c r="O1004" i="1"/>
  <c r="P1004" i="1"/>
  <c r="A1005" i="1"/>
  <c r="B1005" i="1"/>
  <c r="D1005" i="1"/>
  <c r="E1005" i="1"/>
  <c r="F1005" i="1"/>
  <c r="G1005" i="1"/>
  <c r="H1005" i="1"/>
  <c r="I1005" i="1"/>
  <c r="J1005" i="1"/>
  <c r="K1005" i="1"/>
  <c r="L1005" i="1"/>
  <c r="M1005" i="1"/>
  <c r="O1005" i="1"/>
  <c r="P1005" i="1"/>
  <c r="A1006" i="1"/>
  <c r="B1006" i="1"/>
  <c r="D1006" i="1"/>
  <c r="E1006" i="1"/>
  <c r="F1006" i="1"/>
  <c r="G1006" i="1"/>
  <c r="H1006" i="1"/>
  <c r="I1006" i="1"/>
  <c r="J1006" i="1"/>
  <c r="K1006" i="1"/>
  <c r="L1006" i="1"/>
  <c r="M1006" i="1"/>
  <c r="O1006" i="1"/>
  <c r="P1006" i="1"/>
  <c r="A1007" i="1"/>
  <c r="B1007" i="1"/>
  <c r="D1007" i="1"/>
  <c r="E1007" i="1"/>
  <c r="F1007" i="1"/>
  <c r="G1007" i="1"/>
  <c r="H1007" i="1"/>
  <c r="I1007" i="1"/>
  <c r="J1007" i="1"/>
  <c r="K1007" i="1"/>
  <c r="L1007" i="1"/>
  <c r="M1007" i="1"/>
  <c r="O1007" i="1"/>
  <c r="P1007" i="1"/>
  <c r="A1008" i="1"/>
  <c r="B1008" i="1"/>
  <c r="D1008" i="1"/>
  <c r="E1008" i="1"/>
  <c r="F1008" i="1"/>
  <c r="G1008" i="1"/>
  <c r="H1008" i="1"/>
  <c r="I1008" i="1"/>
  <c r="J1008" i="1"/>
  <c r="K1008" i="1"/>
  <c r="L1008" i="1"/>
  <c r="M1008" i="1"/>
  <c r="O1008" i="1"/>
  <c r="P1008" i="1"/>
  <c r="A1009" i="1"/>
  <c r="B1009" i="1"/>
  <c r="D1009" i="1"/>
  <c r="E1009" i="1"/>
  <c r="F1009" i="1"/>
  <c r="G1009" i="1"/>
  <c r="H1009" i="1"/>
  <c r="I1009" i="1"/>
  <c r="J1009" i="1"/>
  <c r="K1009" i="1"/>
  <c r="L1009" i="1"/>
  <c r="M1009" i="1"/>
  <c r="O1009" i="1"/>
  <c r="P1009" i="1"/>
  <c r="A1010" i="1"/>
  <c r="B1010" i="1"/>
  <c r="D1010" i="1"/>
  <c r="E1010" i="1"/>
  <c r="F1010" i="1"/>
  <c r="G1010" i="1"/>
  <c r="H1010" i="1"/>
  <c r="I1010" i="1"/>
  <c r="J1010" i="1"/>
  <c r="K1010" i="1"/>
  <c r="L1010" i="1"/>
  <c r="M1010" i="1"/>
  <c r="O1010" i="1"/>
  <c r="P1010" i="1"/>
  <c r="A1011" i="1"/>
  <c r="B1011" i="1"/>
  <c r="D1011" i="1"/>
  <c r="E1011" i="1"/>
  <c r="F1011" i="1"/>
  <c r="G1011" i="1"/>
  <c r="H1011" i="1"/>
  <c r="I1011" i="1"/>
  <c r="J1011" i="1"/>
  <c r="K1011" i="1"/>
  <c r="L1011" i="1"/>
  <c r="M1011" i="1"/>
  <c r="O1011" i="1"/>
  <c r="P1011" i="1"/>
  <c r="A1012" i="1"/>
  <c r="B1012" i="1"/>
  <c r="D1012" i="1"/>
  <c r="E1012" i="1"/>
  <c r="F1012" i="1"/>
  <c r="G1012" i="1"/>
  <c r="H1012" i="1"/>
  <c r="I1012" i="1"/>
  <c r="J1012" i="1"/>
  <c r="K1012" i="1"/>
  <c r="L1012" i="1"/>
  <c r="M1012" i="1"/>
  <c r="O1012" i="1"/>
  <c r="P1012" i="1"/>
  <c r="A1013" i="1"/>
  <c r="B1013" i="1"/>
  <c r="D1013" i="1"/>
  <c r="E1013" i="1"/>
  <c r="F1013" i="1"/>
  <c r="G1013" i="1"/>
  <c r="H1013" i="1"/>
  <c r="I1013" i="1"/>
  <c r="J1013" i="1"/>
  <c r="K1013" i="1"/>
  <c r="L1013" i="1"/>
  <c r="M1013" i="1"/>
  <c r="O1013" i="1"/>
  <c r="P1013" i="1"/>
  <c r="A1014" i="1"/>
  <c r="B1014" i="1"/>
  <c r="D1014" i="1"/>
  <c r="E1014" i="1"/>
  <c r="F1014" i="1"/>
  <c r="G1014" i="1"/>
  <c r="H1014" i="1"/>
  <c r="I1014" i="1"/>
  <c r="J1014" i="1"/>
  <c r="K1014" i="1"/>
  <c r="L1014" i="1"/>
  <c r="M1014" i="1"/>
  <c r="O1014" i="1"/>
  <c r="P1014" i="1"/>
  <c r="A1015" i="1"/>
  <c r="B1015" i="1"/>
  <c r="D1015" i="1"/>
  <c r="E1015" i="1"/>
  <c r="F1015" i="1"/>
  <c r="G1015" i="1"/>
  <c r="H1015" i="1"/>
  <c r="I1015" i="1"/>
  <c r="J1015" i="1"/>
  <c r="K1015" i="1"/>
  <c r="L1015" i="1"/>
  <c r="M1015" i="1"/>
  <c r="O1015" i="1"/>
  <c r="P1015" i="1"/>
  <c r="A1016" i="1"/>
  <c r="B1016" i="1"/>
  <c r="D1016" i="1"/>
  <c r="E1016" i="1"/>
  <c r="F1016" i="1"/>
  <c r="G1016" i="1"/>
  <c r="H1016" i="1"/>
  <c r="I1016" i="1"/>
  <c r="J1016" i="1"/>
  <c r="K1016" i="1"/>
  <c r="L1016" i="1"/>
  <c r="M1016" i="1"/>
  <c r="O1016" i="1"/>
  <c r="P1016" i="1"/>
  <c r="A1017" i="1"/>
  <c r="B1017" i="1"/>
  <c r="D1017" i="1"/>
  <c r="E1017" i="1"/>
  <c r="F1017" i="1"/>
  <c r="G1017" i="1"/>
  <c r="H1017" i="1"/>
  <c r="I1017" i="1"/>
  <c r="J1017" i="1"/>
  <c r="K1017" i="1"/>
  <c r="L1017" i="1"/>
  <c r="M1017" i="1"/>
  <c r="O1017" i="1"/>
  <c r="P1017" i="1"/>
  <c r="A1018" i="1"/>
  <c r="B1018" i="1"/>
  <c r="D1018" i="1"/>
  <c r="E1018" i="1"/>
  <c r="F1018" i="1"/>
  <c r="G1018" i="1"/>
  <c r="H1018" i="1"/>
  <c r="I1018" i="1"/>
  <c r="J1018" i="1"/>
  <c r="K1018" i="1"/>
  <c r="L1018" i="1"/>
  <c r="M1018" i="1"/>
  <c r="O1018" i="1"/>
  <c r="P1018" i="1"/>
  <c r="A1019" i="1"/>
  <c r="B1019" i="1"/>
  <c r="D1019" i="1"/>
  <c r="E1019" i="1"/>
  <c r="F1019" i="1"/>
  <c r="G1019" i="1"/>
  <c r="H1019" i="1"/>
  <c r="I1019" i="1"/>
  <c r="J1019" i="1"/>
  <c r="K1019" i="1"/>
  <c r="L1019" i="1"/>
  <c r="M1019" i="1"/>
  <c r="O1019" i="1"/>
  <c r="P1019" i="1"/>
  <c r="A1020" i="1"/>
  <c r="B1020" i="1"/>
  <c r="D1020" i="1"/>
  <c r="E1020" i="1"/>
  <c r="F1020" i="1"/>
  <c r="G1020" i="1"/>
  <c r="H1020" i="1"/>
  <c r="I1020" i="1"/>
  <c r="J1020" i="1"/>
  <c r="K1020" i="1"/>
  <c r="L1020" i="1"/>
  <c r="M1020" i="1"/>
  <c r="O1020" i="1"/>
  <c r="P1020" i="1"/>
  <c r="A1021" i="1"/>
  <c r="B1021" i="1"/>
  <c r="D1021" i="1"/>
  <c r="E1021" i="1"/>
  <c r="F1021" i="1"/>
  <c r="G1021" i="1"/>
  <c r="H1021" i="1"/>
  <c r="I1021" i="1"/>
  <c r="J1021" i="1"/>
  <c r="K1021" i="1"/>
  <c r="L1021" i="1"/>
  <c r="M1021" i="1"/>
  <c r="O1021" i="1"/>
  <c r="P1021" i="1"/>
  <c r="A1022" i="1"/>
  <c r="B1022" i="1"/>
  <c r="D1022" i="1"/>
  <c r="E1022" i="1"/>
  <c r="F1022" i="1"/>
  <c r="G1022" i="1"/>
  <c r="H1022" i="1"/>
  <c r="I1022" i="1"/>
  <c r="J1022" i="1"/>
  <c r="K1022" i="1"/>
  <c r="L1022" i="1"/>
  <c r="M1022" i="1"/>
  <c r="O1022" i="1"/>
  <c r="P1022" i="1"/>
  <c r="A1023" i="1"/>
  <c r="B1023" i="1"/>
  <c r="D1023" i="1"/>
  <c r="E1023" i="1"/>
  <c r="F1023" i="1"/>
  <c r="G1023" i="1"/>
  <c r="H1023" i="1"/>
  <c r="I1023" i="1"/>
  <c r="J1023" i="1"/>
  <c r="K1023" i="1"/>
  <c r="L1023" i="1"/>
  <c r="M1023" i="1"/>
  <c r="O1023" i="1"/>
  <c r="P1023" i="1"/>
  <c r="A1024" i="1"/>
  <c r="B1024" i="1"/>
  <c r="D1024" i="1"/>
  <c r="E1024" i="1"/>
  <c r="F1024" i="1"/>
  <c r="G1024" i="1"/>
  <c r="H1024" i="1"/>
  <c r="I1024" i="1"/>
  <c r="J1024" i="1"/>
  <c r="K1024" i="1"/>
  <c r="L1024" i="1"/>
  <c r="M1024" i="1"/>
  <c r="O1024" i="1"/>
  <c r="P1024" i="1"/>
  <c r="A1025" i="1"/>
  <c r="B1025" i="1"/>
  <c r="D1025" i="1"/>
  <c r="E1025" i="1"/>
  <c r="F1025" i="1"/>
  <c r="G1025" i="1"/>
  <c r="H1025" i="1"/>
  <c r="I1025" i="1"/>
  <c r="J1025" i="1"/>
  <c r="K1025" i="1"/>
  <c r="L1025" i="1"/>
  <c r="M1025" i="1"/>
  <c r="O1025" i="1"/>
  <c r="P1025" i="1"/>
  <c r="A1026" i="1"/>
  <c r="B1026" i="1"/>
  <c r="D1026" i="1"/>
  <c r="E1026" i="1"/>
  <c r="F1026" i="1"/>
  <c r="G1026" i="1"/>
  <c r="H1026" i="1"/>
  <c r="I1026" i="1"/>
  <c r="J1026" i="1"/>
  <c r="K1026" i="1"/>
  <c r="L1026" i="1"/>
  <c r="M1026" i="1"/>
  <c r="O1026" i="1"/>
  <c r="P1026" i="1"/>
  <c r="A1027" i="1"/>
  <c r="B1027" i="1"/>
  <c r="D1027" i="1"/>
  <c r="E1027" i="1"/>
  <c r="F1027" i="1"/>
  <c r="G1027" i="1"/>
  <c r="H1027" i="1"/>
  <c r="I1027" i="1"/>
  <c r="J1027" i="1"/>
  <c r="K1027" i="1"/>
  <c r="L1027" i="1"/>
  <c r="M1027" i="1"/>
  <c r="O1027" i="1"/>
  <c r="P1027" i="1"/>
  <c r="A1028" i="1"/>
  <c r="B1028" i="1"/>
  <c r="D1028" i="1"/>
  <c r="E1028" i="1"/>
  <c r="F1028" i="1"/>
  <c r="G1028" i="1"/>
  <c r="H1028" i="1"/>
  <c r="I1028" i="1"/>
  <c r="J1028" i="1"/>
  <c r="K1028" i="1"/>
  <c r="L1028" i="1"/>
  <c r="M1028" i="1"/>
  <c r="O1028" i="1"/>
  <c r="P1028" i="1"/>
  <c r="A1029" i="1"/>
  <c r="B1029" i="1"/>
  <c r="D1029" i="1"/>
  <c r="E1029" i="1"/>
  <c r="F1029" i="1"/>
  <c r="G1029" i="1"/>
  <c r="H1029" i="1"/>
  <c r="I1029" i="1"/>
  <c r="J1029" i="1"/>
  <c r="K1029" i="1"/>
  <c r="L1029" i="1"/>
  <c r="M1029" i="1"/>
  <c r="O1029" i="1"/>
  <c r="P1029" i="1"/>
  <c r="A1030" i="1"/>
  <c r="B1030" i="1"/>
  <c r="D1030" i="1"/>
  <c r="E1030" i="1"/>
  <c r="F1030" i="1"/>
  <c r="G1030" i="1"/>
  <c r="H1030" i="1"/>
  <c r="I1030" i="1"/>
  <c r="J1030" i="1"/>
  <c r="K1030" i="1"/>
  <c r="L1030" i="1"/>
  <c r="M1030" i="1"/>
  <c r="O1030" i="1"/>
  <c r="P1030" i="1"/>
  <c r="A1031" i="1"/>
  <c r="B1031" i="1"/>
  <c r="D1031" i="1"/>
  <c r="E1031" i="1"/>
  <c r="F1031" i="1"/>
  <c r="G1031" i="1"/>
  <c r="H1031" i="1"/>
  <c r="I1031" i="1"/>
  <c r="J1031" i="1"/>
  <c r="K1031" i="1"/>
  <c r="L1031" i="1"/>
  <c r="M1031" i="1"/>
  <c r="O1031" i="1"/>
  <c r="P1031" i="1"/>
  <c r="A1032" i="1"/>
  <c r="B1032" i="1"/>
  <c r="D1032" i="1"/>
  <c r="E1032" i="1"/>
  <c r="F1032" i="1"/>
  <c r="G1032" i="1"/>
  <c r="H1032" i="1"/>
  <c r="I1032" i="1"/>
  <c r="J1032" i="1"/>
  <c r="K1032" i="1"/>
  <c r="L1032" i="1"/>
  <c r="M1032" i="1"/>
  <c r="O1032" i="1"/>
  <c r="P1032" i="1"/>
  <c r="A1033" i="1"/>
  <c r="B1033" i="1"/>
  <c r="D1033" i="1"/>
  <c r="E1033" i="1"/>
  <c r="F1033" i="1"/>
  <c r="G1033" i="1"/>
  <c r="H1033" i="1"/>
  <c r="I1033" i="1"/>
  <c r="J1033" i="1"/>
  <c r="K1033" i="1"/>
  <c r="L1033" i="1"/>
  <c r="M1033" i="1"/>
  <c r="O1033" i="1"/>
  <c r="P1033" i="1"/>
  <c r="A1034" i="1"/>
  <c r="B1034" i="1"/>
  <c r="D1034" i="1"/>
  <c r="E1034" i="1"/>
  <c r="F1034" i="1"/>
  <c r="G1034" i="1"/>
  <c r="H1034" i="1"/>
  <c r="I1034" i="1"/>
  <c r="J1034" i="1"/>
  <c r="K1034" i="1"/>
  <c r="L1034" i="1"/>
  <c r="M1034" i="1"/>
  <c r="O1034" i="1"/>
  <c r="P1034" i="1"/>
  <c r="A1035" i="1"/>
  <c r="B1035" i="1"/>
  <c r="D1035" i="1"/>
  <c r="E1035" i="1"/>
  <c r="F1035" i="1"/>
  <c r="G1035" i="1"/>
  <c r="H1035" i="1"/>
  <c r="I1035" i="1"/>
  <c r="J1035" i="1"/>
  <c r="K1035" i="1"/>
  <c r="L1035" i="1"/>
  <c r="M1035" i="1"/>
  <c r="O1035" i="1"/>
  <c r="P1035" i="1"/>
  <c r="A1036" i="1"/>
  <c r="B1036" i="1"/>
  <c r="D1036" i="1"/>
  <c r="E1036" i="1"/>
  <c r="F1036" i="1"/>
  <c r="G1036" i="1"/>
  <c r="H1036" i="1"/>
  <c r="I1036" i="1"/>
  <c r="J1036" i="1"/>
  <c r="K1036" i="1"/>
  <c r="L1036" i="1"/>
  <c r="M1036" i="1"/>
  <c r="O1036" i="1"/>
  <c r="P1036" i="1"/>
  <c r="A1037" i="1"/>
  <c r="B1037" i="1"/>
  <c r="D1037" i="1"/>
  <c r="E1037" i="1"/>
  <c r="F1037" i="1"/>
  <c r="G1037" i="1"/>
  <c r="H1037" i="1"/>
  <c r="I1037" i="1"/>
  <c r="J1037" i="1"/>
  <c r="K1037" i="1"/>
  <c r="L1037" i="1"/>
  <c r="M1037" i="1"/>
  <c r="O1037" i="1"/>
  <c r="P1037" i="1"/>
  <c r="A1038" i="1"/>
  <c r="B1038" i="1"/>
  <c r="D1038" i="1"/>
  <c r="E1038" i="1"/>
  <c r="F1038" i="1"/>
  <c r="G1038" i="1"/>
  <c r="H1038" i="1"/>
  <c r="I1038" i="1"/>
  <c r="J1038" i="1"/>
  <c r="K1038" i="1"/>
  <c r="L1038" i="1"/>
  <c r="M1038" i="1"/>
  <c r="O1038" i="1"/>
  <c r="P1038" i="1"/>
  <c r="A1039" i="1"/>
  <c r="B1039" i="1"/>
  <c r="D1039" i="1"/>
  <c r="E1039" i="1"/>
  <c r="F1039" i="1"/>
  <c r="G1039" i="1"/>
  <c r="H1039" i="1"/>
  <c r="I1039" i="1"/>
  <c r="J1039" i="1"/>
  <c r="K1039" i="1"/>
  <c r="L1039" i="1"/>
  <c r="M1039" i="1"/>
  <c r="O1039" i="1"/>
  <c r="P1039" i="1"/>
  <c r="A1040" i="1"/>
  <c r="B1040" i="1"/>
  <c r="D1040" i="1"/>
  <c r="E1040" i="1"/>
  <c r="F1040" i="1"/>
  <c r="G1040" i="1"/>
  <c r="H1040" i="1"/>
  <c r="I1040" i="1"/>
  <c r="J1040" i="1"/>
  <c r="K1040" i="1"/>
  <c r="L1040" i="1"/>
  <c r="M1040" i="1"/>
  <c r="O1040" i="1"/>
  <c r="P1040" i="1"/>
  <c r="A1041" i="1"/>
  <c r="B1041" i="1"/>
  <c r="D1041" i="1"/>
  <c r="E1041" i="1"/>
  <c r="F1041" i="1"/>
  <c r="G1041" i="1"/>
  <c r="H1041" i="1"/>
  <c r="I1041" i="1"/>
  <c r="J1041" i="1"/>
  <c r="K1041" i="1"/>
  <c r="L1041" i="1"/>
  <c r="M1041" i="1"/>
  <c r="O1041" i="1"/>
  <c r="P1041" i="1"/>
  <c r="A1042" i="1"/>
  <c r="B1042" i="1"/>
  <c r="D1042" i="1"/>
  <c r="E1042" i="1"/>
  <c r="F1042" i="1"/>
  <c r="G1042" i="1"/>
  <c r="H1042" i="1"/>
  <c r="I1042" i="1"/>
  <c r="J1042" i="1"/>
  <c r="K1042" i="1"/>
  <c r="L1042" i="1"/>
  <c r="M1042" i="1"/>
  <c r="O1042" i="1"/>
  <c r="P1042" i="1"/>
  <c r="A1043" i="1"/>
  <c r="B1043" i="1"/>
  <c r="D1043" i="1"/>
  <c r="E1043" i="1"/>
  <c r="F1043" i="1"/>
  <c r="G1043" i="1"/>
  <c r="H1043" i="1"/>
  <c r="I1043" i="1"/>
  <c r="J1043" i="1"/>
  <c r="K1043" i="1"/>
  <c r="L1043" i="1"/>
  <c r="M1043" i="1"/>
  <c r="O1043" i="1"/>
  <c r="P1043" i="1"/>
  <c r="A1044" i="1"/>
  <c r="B1044" i="1"/>
  <c r="D1044" i="1"/>
  <c r="E1044" i="1"/>
  <c r="F1044" i="1"/>
  <c r="G1044" i="1"/>
  <c r="H1044" i="1"/>
  <c r="I1044" i="1"/>
  <c r="J1044" i="1"/>
  <c r="K1044" i="1"/>
  <c r="L1044" i="1"/>
  <c r="M1044" i="1"/>
  <c r="O1044" i="1"/>
  <c r="P1044" i="1"/>
  <c r="A1045" i="1"/>
  <c r="B1045" i="1"/>
  <c r="D1045" i="1"/>
  <c r="E1045" i="1"/>
  <c r="F1045" i="1"/>
  <c r="G1045" i="1"/>
  <c r="H1045" i="1"/>
  <c r="I1045" i="1"/>
  <c r="J1045" i="1"/>
  <c r="K1045" i="1"/>
  <c r="L1045" i="1"/>
  <c r="M1045" i="1"/>
  <c r="O1045" i="1"/>
  <c r="P1045" i="1"/>
  <c r="A1046" i="1"/>
  <c r="B1046" i="1"/>
  <c r="D1046" i="1"/>
  <c r="E1046" i="1"/>
  <c r="F1046" i="1"/>
  <c r="G1046" i="1"/>
  <c r="H1046" i="1"/>
  <c r="I1046" i="1"/>
  <c r="J1046" i="1"/>
  <c r="K1046" i="1"/>
  <c r="L1046" i="1"/>
  <c r="M1046" i="1"/>
  <c r="O1046" i="1"/>
  <c r="P1046" i="1"/>
  <c r="A1047" i="1"/>
  <c r="B1047" i="1"/>
  <c r="D1047" i="1"/>
  <c r="E1047" i="1"/>
  <c r="F1047" i="1"/>
  <c r="G1047" i="1"/>
  <c r="H1047" i="1"/>
  <c r="I1047" i="1"/>
  <c r="J1047" i="1"/>
  <c r="K1047" i="1"/>
  <c r="L1047" i="1"/>
  <c r="M1047" i="1"/>
  <c r="O1047" i="1"/>
  <c r="P1047" i="1"/>
  <c r="A1048" i="1"/>
  <c r="B1048" i="1"/>
  <c r="D1048" i="1"/>
  <c r="E1048" i="1"/>
  <c r="F1048" i="1"/>
  <c r="G1048" i="1"/>
  <c r="H1048" i="1"/>
  <c r="I1048" i="1"/>
  <c r="J1048" i="1"/>
  <c r="K1048" i="1"/>
  <c r="L1048" i="1"/>
  <c r="M1048" i="1"/>
  <c r="O1048" i="1"/>
  <c r="P1048" i="1"/>
  <c r="A1049" i="1"/>
  <c r="B1049" i="1"/>
  <c r="D1049" i="1"/>
  <c r="E1049" i="1"/>
  <c r="F1049" i="1"/>
  <c r="G1049" i="1"/>
  <c r="H1049" i="1"/>
  <c r="I1049" i="1"/>
  <c r="J1049" i="1"/>
  <c r="K1049" i="1"/>
  <c r="L1049" i="1"/>
  <c r="M1049" i="1"/>
  <c r="O1049" i="1"/>
  <c r="P1049" i="1"/>
  <c r="A1050" i="1"/>
  <c r="B1050" i="1"/>
  <c r="D1050" i="1"/>
  <c r="E1050" i="1"/>
  <c r="F1050" i="1"/>
  <c r="G1050" i="1"/>
  <c r="H1050" i="1"/>
  <c r="I1050" i="1"/>
  <c r="J1050" i="1"/>
  <c r="K1050" i="1"/>
  <c r="L1050" i="1"/>
  <c r="M1050" i="1"/>
  <c r="O1050" i="1"/>
  <c r="P1050" i="1"/>
  <c r="A1051" i="1"/>
  <c r="B1051" i="1"/>
  <c r="D1051" i="1"/>
  <c r="E1051" i="1"/>
  <c r="F1051" i="1"/>
  <c r="G1051" i="1"/>
  <c r="H1051" i="1"/>
  <c r="I1051" i="1"/>
  <c r="J1051" i="1"/>
  <c r="K1051" i="1"/>
  <c r="L1051" i="1"/>
  <c r="M1051" i="1"/>
  <c r="O1051" i="1"/>
  <c r="P1051" i="1"/>
  <c r="A1052" i="1"/>
  <c r="B1052" i="1"/>
  <c r="D1052" i="1"/>
  <c r="E1052" i="1"/>
  <c r="F1052" i="1"/>
  <c r="G1052" i="1"/>
  <c r="H1052" i="1"/>
  <c r="I1052" i="1"/>
  <c r="J1052" i="1"/>
  <c r="K1052" i="1"/>
  <c r="L1052" i="1"/>
  <c r="M1052" i="1"/>
  <c r="O1052" i="1"/>
  <c r="P1052" i="1"/>
  <c r="A1053" i="1"/>
  <c r="B1053" i="1"/>
  <c r="D1053" i="1"/>
  <c r="E1053" i="1"/>
  <c r="F1053" i="1"/>
  <c r="G1053" i="1"/>
  <c r="H1053" i="1"/>
  <c r="I1053" i="1"/>
  <c r="J1053" i="1"/>
  <c r="K1053" i="1"/>
  <c r="L1053" i="1"/>
  <c r="M1053" i="1"/>
  <c r="O1053" i="1"/>
  <c r="P1053" i="1"/>
  <c r="A1054" i="1"/>
  <c r="B1054" i="1"/>
  <c r="D1054" i="1"/>
  <c r="E1054" i="1"/>
  <c r="F1054" i="1"/>
  <c r="G1054" i="1"/>
  <c r="H1054" i="1"/>
  <c r="I1054" i="1"/>
  <c r="J1054" i="1"/>
  <c r="K1054" i="1"/>
  <c r="L1054" i="1"/>
  <c r="M1054" i="1"/>
  <c r="O1054" i="1"/>
  <c r="P1054" i="1"/>
  <c r="A1055" i="1"/>
  <c r="B1055" i="1"/>
  <c r="D1055" i="1"/>
  <c r="E1055" i="1"/>
  <c r="F1055" i="1"/>
  <c r="G1055" i="1"/>
  <c r="H1055" i="1"/>
  <c r="I1055" i="1"/>
  <c r="J1055" i="1"/>
  <c r="K1055" i="1"/>
  <c r="L1055" i="1"/>
  <c r="M1055" i="1"/>
  <c r="O1055" i="1"/>
  <c r="P1055" i="1"/>
  <c r="A1056" i="1"/>
  <c r="B1056" i="1"/>
  <c r="D1056" i="1"/>
  <c r="E1056" i="1"/>
  <c r="F1056" i="1"/>
  <c r="G1056" i="1"/>
  <c r="H1056" i="1"/>
  <c r="I1056" i="1"/>
  <c r="J1056" i="1"/>
  <c r="K1056" i="1"/>
  <c r="L1056" i="1"/>
  <c r="M1056" i="1"/>
  <c r="O1056" i="1"/>
  <c r="P1056" i="1"/>
  <c r="A1057" i="1"/>
  <c r="B1057" i="1"/>
  <c r="D1057" i="1"/>
  <c r="E1057" i="1"/>
  <c r="F1057" i="1"/>
  <c r="G1057" i="1"/>
  <c r="H1057" i="1"/>
  <c r="I1057" i="1"/>
  <c r="J1057" i="1"/>
  <c r="K1057" i="1"/>
  <c r="L1057" i="1"/>
  <c r="M1057" i="1"/>
  <c r="O1057" i="1"/>
  <c r="P1057" i="1"/>
  <c r="A1058" i="1"/>
  <c r="B1058" i="1"/>
  <c r="D1058" i="1"/>
  <c r="E1058" i="1"/>
  <c r="F1058" i="1"/>
  <c r="G1058" i="1"/>
  <c r="H1058" i="1"/>
  <c r="I1058" i="1"/>
  <c r="J1058" i="1"/>
  <c r="K1058" i="1"/>
  <c r="L1058" i="1"/>
  <c r="M1058" i="1"/>
  <c r="O1058" i="1"/>
  <c r="P1058" i="1"/>
  <c r="A1059" i="1"/>
  <c r="B1059" i="1"/>
  <c r="D1059" i="1"/>
  <c r="E1059" i="1"/>
  <c r="F1059" i="1"/>
  <c r="G1059" i="1"/>
  <c r="H1059" i="1"/>
  <c r="I1059" i="1"/>
  <c r="J1059" i="1"/>
  <c r="K1059" i="1"/>
  <c r="L1059" i="1"/>
  <c r="M1059" i="1"/>
  <c r="O1059" i="1"/>
  <c r="P1059" i="1"/>
  <c r="A1060" i="1"/>
  <c r="B1060" i="1"/>
  <c r="D1060" i="1"/>
  <c r="E1060" i="1"/>
  <c r="F1060" i="1"/>
  <c r="G1060" i="1"/>
  <c r="H1060" i="1"/>
  <c r="I1060" i="1"/>
  <c r="J1060" i="1"/>
  <c r="K1060" i="1"/>
  <c r="L1060" i="1"/>
  <c r="M1060" i="1"/>
  <c r="O1060" i="1"/>
  <c r="P1060" i="1"/>
  <c r="A1061" i="1"/>
  <c r="B1061" i="1"/>
  <c r="D1061" i="1"/>
  <c r="E1061" i="1"/>
  <c r="F1061" i="1"/>
  <c r="G1061" i="1"/>
  <c r="H1061" i="1"/>
  <c r="I1061" i="1"/>
  <c r="J1061" i="1"/>
  <c r="K1061" i="1"/>
  <c r="L1061" i="1"/>
  <c r="M1061" i="1"/>
  <c r="O1061" i="1"/>
  <c r="P1061" i="1"/>
  <c r="A1062" i="1"/>
  <c r="B1062" i="1"/>
  <c r="D1062" i="1"/>
  <c r="E1062" i="1"/>
  <c r="F1062" i="1"/>
  <c r="G1062" i="1"/>
  <c r="H1062" i="1"/>
  <c r="I1062" i="1"/>
  <c r="J1062" i="1"/>
  <c r="K1062" i="1"/>
  <c r="L1062" i="1"/>
  <c r="M1062" i="1"/>
  <c r="O1062" i="1"/>
  <c r="P1062" i="1"/>
  <c r="A1063" i="1"/>
  <c r="B1063" i="1"/>
  <c r="D1063" i="1"/>
  <c r="E1063" i="1"/>
  <c r="F1063" i="1"/>
  <c r="G1063" i="1"/>
  <c r="H1063" i="1"/>
  <c r="I1063" i="1"/>
  <c r="J1063" i="1"/>
  <c r="K1063" i="1"/>
  <c r="L1063" i="1"/>
  <c r="M1063" i="1"/>
  <c r="O1063" i="1"/>
  <c r="P1063" i="1"/>
  <c r="A1064" i="1"/>
  <c r="B1064" i="1"/>
  <c r="D1064" i="1"/>
  <c r="E1064" i="1"/>
  <c r="F1064" i="1"/>
  <c r="G1064" i="1"/>
  <c r="H1064" i="1"/>
  <c r="I1064" i="1"/>
  <c r="J1064" i="1"/>
  <c r="K1064" i="1"/>
  <c r="L1064" i="1"/>
  <c r="M1064" i="1"/>
  <c r="O1064" i="1"/>
  <c r="P1064" i="1"/>
  <c r="A1065" i="1"/>
  <c r="B1065" i="1"/>
  <c r="D1065" i="1"/>
  <c r="E1065" i="1"/>
  <c r="F1065" i="1"/>
  <c r="G1065" i="1"/>
  <c r="H1065" i="1"/>
  <c r="I1065" i="1"/>
  <c r="J1065" i="1"/>
  <c r="K1065" i="1"/>
  <c r="L1065" i="1"/>
  <c r="M1065" i="1"/>
  <c r="O1065" i="1"/>
  <c r="P1065" i="1"/>
  <c r="A1066" i="1"/>
  <c r="B1066" i="1"/>
  <c r="D1066" i="1"/>
  <c r="E1066" i="1"/>
  <c r="F1066" i="1"/>
  <c r="G1066" i="1"/>
  <c r="H1066" i="1"/>
  <c r="I1066" i="1"/>
  <c r="J1066" i="1"/>
  <c r="K1066" i="1"/>
  <c r="L1066" i="1"/>
  <c r="M1066" i="1"/>
  <c r="O1066" i="1"/>
  <c r="P1066" i="1"/>
  <c r="A1067" i="1"/>
  <c r="B1067" i="1"/>
  <c r="D1067" i="1"/>
  <c r="E1067" i="1"/>
  <c r="F1067" i="1"/>
  <c r="G1067" i="1"/>
  <c r="H1067" i="1"/>
  <c r="I1067" i="1"/>
  <c r="J1067" i="1"/>
  <c r="K1067" i="1"/>
  <c r="L1067" i="1"/>
  <c r="M1067" i="1"/>
  <c r="O1067" i="1"/>
  <c r="P1067" i="1"/>
  <c r="A1068" i="1"/>
  <c r="B1068" i="1"/>
  <c r="D1068" i="1"/>
  <c r="E1068" i="1"/>
  <c r="F1068" i="1"/>
  <c r="G1068" i="1"/>
  <c r="H1068" i="1"/>
  <c r="I1068" i="1"/>
  <c r="J1068" i="1"/>
  <c r="K1068" i="1"/>
  <c r="L1068" i="1"/>
  <c r="M1068" i="1"/>
  <c r="O1068" i="1"/>
  <c r="P1068" i="1"/>
  <c r="A1069" i="1"/>
  <c r="B1069" i="1"/>
  <c r="D1069" i="1"/>
  <c r="E1069" i="1"/>
  <c r="F1069" i="1"/>
  <c r="G1069" i="1"/>
  <c r="H1069" i="1"/>
  <c r="I1069" i="1"/>
  <c r="J1069" i="1"/>
  <c r="K1069" i="1"/>
  <c r="L1069" i="1"/>
  <c r="M1069" i="1"/>
  <c r="O1069" i="1"/>
  <c r="P1069" i="1"/>
  <c r="A1070" i="1"/>
  <c r="B1070" i="1"/>
  <c r="D1070" i="1"/>
  <c r="E1070" i="1"/>
  <c r="F1070" i="1"/>
  <c r="G1070" i="1"/>
  <c r="H1070" i="1"/>
  <c r="I1070" i="1"/>
  <c r="J1070" i="1"/>
  <c r="K1070" i="1"/>
  <c r="L1070" i="1"/>
  <c r="M1070" i="1"/>
  <c r="O1070" i="1"/>
  <c r="P1070" i="1"/>
  <c r="A1071" i="1"/>
  <c r="B1071" i="1"/>
  <c r="D1071" i="1"/>
  <c r="E1071" i="1"/>
  <c r="F1071" i="1"/>
  <c r="G1071" i="1"/>
  <c r="H1071" i="1"/>
  <c r="I1071" i="1"/>
  <c r="J1071" i="1"/>
  <c r="K1071" i="1"/>
  <c r="L1071" i="1"/>
  <c r="M1071" i="1"/>
  <c r="O1071" i="1"/>
  <c r="P1071" i="1"/>
  <c r="A1072" i="1"/>
  <c r="B1072" i="1"/>
  <c r="D1072" i="1"/>
  <c r="E1072" i="1"/>
  <c r="F1072" i="1"/>
  <c r="G1072" i="1"/>
  <c r="H1072" i="1"/>
  <c r="I1072" i="1"/>
  <c r="J1072" i="1"/>
  <c r="K1072" i="1"/>
  <c r="L1072" i="1"/>
  <c r="M1072" i="1"/>
  <c r="O1072" i="1"/>
  <c r="P1072" i="1"/>
  <c r="A1073" i="1"/>
  <c r="B1073" i="1"/>
  <c r="D1073" i="1"/>
  <c r="E1073" i="1"/>
  <c r="F1073" i="1"/>
  <c r="G1073" i="1"/>
  <c r="H1073" i="1"/>
  <c r="I1073" i="1"/>
  <c r="J1073" i="1"/>
  <c r="K1073" i="1"/>
  <c r="L1073" i="1"/>
  <c r="M1073" i="1"/>
  <c r="O1073" i="1"/>
  <c r="P1073" i="1"/>
  <c r="A1074" i="1"/>
  <c r="B1074" i="1"/>
  <c r="D1074" i="1"/>
  <c r="E1074" i="1"/>
  <c r="F1074" i="1"/>
  <c r="G1074" i="1"/>
  <c r="H1074" i="1"/>
  <c r="I1074" i="1"/>
  <c r="J1074" i="1"/>
  <c r="K1074" i="1"/>
  <c r="L1074" i="1"/>
  <c r="M1074" i="1"/>
  <c r="O1074" i="1"/>
  <c r="P1074" i="1"/>
  <c r="A1075" i="1"/>
  <c r="B1075" i="1"/>
  <c r="D1075" i="1"/>
  <c r="E1075" i="1"/>
  <c r="F1075" i="1"/>
  <c r="G1075" i="1"/>
  <c r="H1075" i="1"/>
  <c r="I1075" i="1"/>
  <c r="J1075" i="1"/>
  <c r="K1075" i="1"/>
  <c r="L1075" i="1"/>
  <c r="M1075" i="1"/>
  <c r="O1075" i="1"/>
  <c r="P1075" i="1"/>
  <c r="A1076" i="1"/>
  <c r="B1076" i="1"/>
  <c r="D1076" i="1"/>
  <c r="E1076" i="1"/>
  <c r="F1076" i="1"/>
  <c r="G1076" i="1"/>
  <c r="H1076" i="1"/>
  <c r="I1076" i="1"/>
  <c r="J1076" i="1"/>
  <c r="K1076" i="1"/>
  <c r="L1076" i="1"/>
  <c r="M1076" i="1"/>
  <c r="O1076" i="1"/>
  <c r="P1076" i="1"/>
  <c r="A1077" i="1"/>
  <c r="B1077" i="1"/>
  <c r="D1077" i="1"/>
  <c r="E1077" i="1"/>
  <c r="F1077" i="1"/>
  <c r="G1077" i="1"/>
  <c r="H1077" i="1"/>
  <c r="I1077" i="1"/>
  <c r="J1077" i="1"/>
  <c r="K1077" i="1"/>
  <c r="L1077" i="1"/>
  <c r="M1077" i="1"/>
  <c r="O1077" i="1"/>
  <c r="P1077" i="1"/>
  <c r="A1078" i="1"/>
  <c r="B1078" i="1"/>
  <c r="D1078" i="1"/>
  <c r="E1078" i="1"/>
  <c r="F1078" i="1"/>
  <c r="G1078" i="1"/>
  <c r="H1078" i="1"/>
  <c r="I1078" i="1"/>
  <c r="J1078" i="1"/>
  <c r="K1078" i="1"/>
  <c r="L1078" i="1"/>
  <c r="M1078" i="1"/>
  <c r="O1078" i="1"/>
  <c r="P1078" i="1"/>
  <c r="A1079" i="1"/>
  <c r="B1079" i="1"/>
  <c r="D1079" i="1"/>
  <c r="E1079" i="1"/>
  <c r="F1079" i="1"/>
  <c r="G1079" i="1"/>
  <c r="H1079" i="1"/>
  <c r="I1079" i="1"/>
  <c r="J1079" i="1"/>
  <c r="K1079" i="1"/>
  <c r="L1079" i="1"/>
  <c r="M1079" i="1"/>
  <c r="O1079" i="1"/>
  <c r="P1079" i="1"/>
  <c r="A1080" i="1"/>
  <c r="B1080" i="1"/>
  <c r="D1080" i="1"/>
  <c r="E1080" i="1"/>
  <c r="F1080" i="1"/>
  <c r="G1080" i="1"/>
  <c r="H1080" i="1"/>
  <c r="I1080" i="1"/>
  <c r="J1080" i="1"/>
  <c r="K1080" i="1"/>
  <c r="L1080" i="1"/>
  <c r="M1080" i="1"/>
  <c r="O1080" i="1"/>
  <c r="P1080" i="1"/>
  <c r="A1081" i="1"/>
  <c r="B1081" i="1"/>
  <c r="D1081" i="1"/>
  <c r="E1081" i="1"/>
  <c r="F1081" i="1"/>
  <c r="G1081" i="1"/>
  <c r="H1081" i="1"/>
  <c r="I1081" i="1"/>
  <c r="J1081" i="1"/>
  <c r="K1081" i="1"/>
  <c r="L1081" i="1"/>
  <c r="M1081" i="1"/>
  <c r="O1081" i="1"/>
  <c r="P1081" i="1"/>
  <c r="A1082" i="1"/>
  <c r="B1082" i="1"/>
  <c r="D1082" i="1"/>
  <c r="E1082" i="1"/>
  <c r="F1082" i="1"/>
  <c r="G1082" i="1"/>
  <c r="H1082" i="1"/>
  <c r="I1082" i="1"/>
  <c r="J1082" i="1"/>
  <c r="K1082" i="1"/>
  <c r="L1082" i="1"/>
  <c r="M1082" i="1"/>
  <c r="O1082" i="1"/>
  <c r="P1082" i="1"/>
  <c r="A1083" i="1"/>
  <c r="B1083" i="1"/>
  <c r="D1083" i="1"/>
  <c r="E1083" i="1"/>
  <c r="F1083" i="1"/>
  <c r="G1083" i="1"/>
  <c r="H1083" i="1"/>
  <c r="I1083" i="1"/>
  <c r="J1083" i="1"/>
  <c r="K1083" i="1"/>
  <c r="L1083" i="1"/>
  <c r="M1083" i="1"/>
  <c r="O1083" i="1"/>
  <c r="P1083" i="1"/>
  <c r="A1084" i="1"/>
  <c r="B1084" i="1"/>
  <c r="D1084" i="1"/>
  <c r="E1084" i="1"/>
  <c r="F1084" i="1"/>
  <c r="G1084" i="1"/>
  <c r="H1084" i="1"/>
  <c r="I1084" i="1"/>
  <c r="J1084" i="1"/>
  <c r="K1084" i="1"/>
  <c r="L1084" i="1"/>
  <c r="M1084" i="1"/>
  <c r="O1084" i="1"/>
  <c r="P1084" i="1"/>
  <c r="A1085" i="1"/>
  <c r="B1085" i="1"/>
  <c r="D1085" i="1"/>
  <c r="E1085" i="1"/>
  <c r="F1085" i="1"/>
  <c r="G1085" i="1"/>
  <c r="H1085" i="1"/>
  <c r="I1085" i="1"/>
  <c r="J1085" i="1"/>
  <c r="K1085" i="1"/>
  <c r="L1085" i="1"/>
  <c r="M1085" i="1"/>
  <c r="O1085" i="1"/>
  <c r="P1085" i="1"/>
  <c r="A1086" i="1"/>
  <c r="B1086" i="1"/>
  <c r="D1086" i="1"/>
  <c r="E1086" i="1"/>
  <c r="F1086" i="1"/>
  <c r="G1086" i="1"/>
  <c r="H1086" i="1"/>
  <c r="I1086" i="1"/>
  <c r="J1086" i="1"/>
  <c r="K1086" i="1"/>
  <c r="L1086" i="1"/>
  <c r="M1086" i="1"/>
  <c r="O1086" i="1"/>
  <c r="P1086" i="1"/>
  <c r="A1087" i="1"/>
  <c r="B1087" i="1"/>
  <c r="D1087" i="1"/>
  <c r="E1087" i="1"/>
  <c r="F1087" i="1"/>
  <c r="G1087" i="1"/>
  <c r="H1087" i="1"/>
  <c r="I1087" i="1"/>
  <c r="J1087" i="1"/>
  <c r="K1087" i="1"/>
  <c r="L1087" i="1"/>
  <c r="M1087" i="1"/>
  <c r="O1087" i="1"/>
  <c r="P1087" i="1"/>
  <c r="A1088" i="1"/>
  <c r="B1088" i="1"/>
  <c r="D1088" i="1"/>
  <c r="E1088" i="1"/>
  <c r="F1088" i="1"/>
  <c r="G1088" i="1"/>
  <c r="H1088" i="1"/>
  <c r="I1088" i="1"/>
  <c r="J1088" i="1"/>
  <c r="K1088" i="1"/>
  <c r="L1088" i="1"/>
  <c r="M1088" i="1"/>
  <c r="O1088" i="1"/>
  <c r="P1088" i="1"/>
  <c r="A1089" i="1"/>
  <c r="B1089" i="1"/>
  <c r="D1089" i="1"/>
  <c r="E1089" i="1"/>
  <c r="F1089" i="1"/>
  <c r="G1089" i="1"/>
  <c r="H1089" i="1"/>
  <c r="I1089" i="1"/>
  <c r="J1089" i="1"/>
  <c r="K1089" i="1"/>
  <c r="L1089" i="1"/>
  <c r="M1089" i="1"/>
  <c r="O1089" i="1"/>
  <c r="P1089" i="1"/>
  <c r="A1090" i="1"/>
  <c r="B1090" i="1"/>
  <c r="D1090" i="1"/>
  <c r="E1090" i="1"/>
  <c r="F1090" i="1"/>
  <c r="G1090" i="1"/>
  <c r="H1090" i="1"/>
  <c r="I1090" i="1"/>
  <c r="J1090" i="1"/>
  <c r="K1090" i="1"/>
  <c r="L1090" i="1"/>
  <c r="M1090" i="1"/>
  <c r="O1090" i="1"/>
  <c r="P1090" i="1"/>
  <c r="A1091" i="1"/>
  <c r="B1091" i="1"/>
  <c r="D1091" i="1"/>
  <c r="E1091" i="1"/>
  <c r="F1091" i="1"/>
  <c r="G1091" i="1"/>
  <c r="H1091" i="1"/>
  <c r="I1091" i="1"/>
  <c r="J1091" i="1"/>
  <c r="K1091" i="1"/>
  <c r="L1091" i="1"/>
  <c r="M1091" i="1"/>
  <c r="O1091" i="1"/>
  <c r="P1091" i="1"/>
  <c r="A1092" i="1"/>
  <c r="B1092" i="1"/>
  <c r="D1092" i="1"/>
  <c r="E1092" i="1"/>
  <c r="F1092" i="1"/>
  <c r="G1092" i="1"/>
  <c r="H1092" i="1"/>
  <c r="I1092" i="1"/>
  <c r="J1092" i="1"/>
  <c r="K1092" i="1"/>
  <c r="L1092" i="1"/>
  <c r="M1092" i="1"/>
  <c r="O1092" i="1"/>
  <c r="P1092" i="1"/>
  <c r="A1093" i="1"/>
  <c r="B1093" i="1"/>
  <c r="D1093" i="1"/>
  <c r="E1093" i="1"/>
  <c r="F1093" i="1"/>
  <c r="G1093" i="1"/>
  <c r="H1093" i="1"/>
  <c r="I1093" i="1"/>
  <c r="J1093" i="1"/>
  <c r="K1093" i="1"/>
  <c r="L1093" i="1"/>
  <c r="M1093" i="1"/>
  <c r="O1093" i="1"/>
  <c r="P1093" i="1"/>
  <c r="A1094" i="1"/>
  <c r="B1094" i="1"/>
  <c r="D1094" i="1"/>
  <c r="E1094" i="1"/>
  <c r="F1094" i="1"/>
  <c r="G1094" i="1"/>
  <c r="H1094" i="1"/>
  <c r="I1094" i="1"/>
  <c r="J1094" i="1"/>
  <c r="K1094" i="1"/>
  <c r="L1094" i="1"/>
  <c r="M1094" i="1"/>
  <c r="O1094" i="1"/>
  <c r="P1094" i="1"/>
  <c r="A1095" i="1"/>
  <c r="B1095" i="1"/>
  <c r="D1095" i="1"/>
  <c r="E1095" i="1"/>
  <c r="F1095" i="1"/>
  <c r="G1095" i="1"/>
  <c r="H1095" i="1"/>
  <c r="I1095" i="1"/>
  <c r="J1095" i="1"/>
  <c r="K1095" i="1"/>
  <c r="L1095" i="1"/>
  <c r="M1095" i="1"/>
  <c r="O1095" i="1"/>
  <c r="P1095" i="1"/>
  <c r="A1096" i="1"/>
  <c r="B1096" i="1"/>
  <c r="D1096" i="1"/>
  <c r="E1096" i="1"/>
  <c r="F1096" i="1"/>
  <c r="G1096" i="1"/>
  <c r="H1096" i="1"/>
  <c r="I1096" i="1"/>
  <c r="J1096" i="1"/>
  <c r="K1096" i="1"/>
  <c r="L1096" i="1"/>
  <c r="M1096" i="1"/>
  <c r="O1096" i="1"/>
  <c r="P1096" i="1"/>
  <c r="A1097" i="1"/>
  <c r="B1097" i="1"/>
  <c r="D1097" i="1"/>
  <c r="E1097" i="1"/>
  <c r="F1097" i="1"/>
  <c r="G1097" i="1"/>
  <c r="H1097" i="1"/>
  <c r="I1097" i="1"/>
  <c r="J1097" i="1"/>
  <c r="K1097" i="1"/>
  <c r="L1097" i="1"/>
  <c r="M1097" i="1"/>
  <c r="O1097" i="1"/>
  <c r="P1097" i="1"/>
  <c r="A1098" i="1"/>
  <c r="B1098" i="1"/>
  <c r="D1098" i="1"/>
  <c r="E1098" i="1"/>
  <c r="F1098" i="1"/>
  <c r="G1098" i="1"/>
  <c r="H1098" i="1"/>
  <c r="I1098" i="1"/>
  <c r="J1098" i="1"/>
  <c r="K1098" i="1"/>
  <c r="L1098" i="1"/>
  <c r="M1098" i="1"/>
  <c r="O1098" i="1"/>
  <c r="P1098" i="1"/>
  <c r="A1099" i="1"/>
  <c r="B1099" i="1"/>
  <c r="D1099" i="1"/>
  <c r="E1099" i="1"/>
  <c r="F1099" i="1"/>
  <c r="G1099" i="1"/>
  <c r="H1099" i="1"/>
  <c r="I1099" i="1"/>
  <c r="J1099" i="1"/>
  <c r="K1099" i="1"/>
  <c r="L1099" i="1"/>
  <c r="M1099" i="1"/>
  <c r="O1099" i="1"/>
  <c r="P1099" i="1"/>
  <c r="A1100" i="1"/>
  <c r="B1100" i="1"/>
  <c r="D1100" i="1"/>
  <c r="E1100" i="1"/>
  <c r="F1100" i="1"/>
  <c r="G1100" i="1"/>
  <c r="H1100" i="1"/>
  <c r="I1100" i="1"/>
  <c r="J1100" i="1"/>
  <c r="K1100" i="1"/>
  <c r="L1100" i="1"/>
  <c r="M1100" i="1"/>
  <c r="O1100" i="1"/>
  <c r="P1100" i="1"/>
  <c r="A1101" i="1"/>
  <c r="B1101" i="1"/>
  <c r="D1101" i="1"/>
  <c r="E1101" i="1"/>
  <c r="F1101" i="1"/>
  <c r="G1101" i="1"/>
  <c r="H1101" i="1"/>
  <c r="I1101" i="1"/>
  <c r="J1101" i="1"/>
  <c r="K1101" i="1"/>
  <c r="L1101" i="1"/>
  <c r="M1101" i="1"/>
  <c r="O1101" i="1"/>
  <c r="P1101" i="1"/>
  <c r="A1102" i="1"/>
  <c r="B1102" i="1"/>
  <c r="D1102" i="1"/>
  <c r="E1102" i="1"/>
  <c r="F1102" i="1"/>
  <c r="G1102" i="1"/>
  <c r="H1102" i="1"/>
  <c r="I1102" i="1"/>
  <c r="J1102" i="1"/>
  <c r="K1102" i="1"/>
  <c r="L1102" i="1"/>
  <c r="M1102" i="1"/>
  <c r="O1102" i="1"/>
  <c r="P1102" i="1"/>
  <c r="A1103" i="1"/>
  <c r="B1103" i="1"/>
  <c r="D1103" i="1"/>
  <c r="E1103" i="1"/>
  <c r="F1103" i="1"/>
  <c r="G1103" i="1"/>
  <c r="H1103" i="1"/>
  <c r="I1103" i="1"/>
  <c r="J1103" i="1"/>
  <c r="K1103" i="1"/>
  <c r="L1103" i="1"/>
  <c r="M1103" i="1"/>
  <c r="O1103" i="1"/>
  <c r="P1103" i="1"/>
</calcChain>
</file>

<file path=xl/sharedStrings.xml><?xml version="1.0" encoding="utf-8"?>
<sst xmlns="http://schemas.openxmlformats.org/spreadsheetml/2006/main" count="16" uniqueCount="16">
  <si>
    <t>DIV</t>
  </si>
  <si>
    <t>BUR</t>
  </si>
  <si>
    <t>SCHD_DT</t>
  </si>
  <si>
    <t>PROJ_ID</t>
  </si>
  <si>
    <t>SUB_PGM</t>
  </si>
  <si>
    <t>SCHD_RNG</t>
  </si>
  <si>
    <t>CPNT_TY</t>
  </si>
  <si>
    <t>SORT_TY</t>
  </si>
  <si>
    <t>CONCEPT</t>
  </si>
  <si>
    <t>HWY</t>
  </si>
  <si>
    <t>COUNTY</t>
  </si>
  <si>
    <t>TITLE</t>
  </si>
  <si>
    <t>LIMIT</t>
  </si>
  <si>
    <t>NMILES</t>
  </si>
  <si>
    <t>TIE_BID</t>
  </si>
  <si>
    <t>WPGM_DS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</si>
</sst>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3">
    <xf numFmtId="0" fontId="0" fillId="0" borderId="0" xfId="0"/>
    <xf numFmtId="15" fontId="0" fillId="0" borderId="0" xfId="0" applyNumberFormat="1"/>
    <xf numFmtId="0" fontId="16" fillId="0" borderId="0" xfId="0" applyFont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03"/>
  <sheetViews>
    <sheetView tabSelected="1" workbookViewId="0">
      <pane ySplit="1" topLeftCell="A2" activePane="bottomLeft" state="frozen"/>
      <selection pane="bottomLeft" sqref="A1:XFD1"/>
    </sheetView>
  </sheetViews>
  <sheetFormatPr defaultRowHeight="15" x14ac:dyDescent="0.25"/>
  <cols>
    <col min="1" max="1" width="4.140625" bestFit="1" customWidth="1"/>
    <col min="2" max="2" width="4.5703125" bestFit="1" customWidth="1"/>
    <col min="3" max="3" width="10.140625" bestFit="1" customWidth="1"/>
    <col min="4" max="4" width="10.42578125" bestFit="1" customWidth="1"/>
    <col min="5" max="5" width="9.5703125" bestFit="1" customWidth="1"/>
    <col min="6" max="6" width="25.5703125" bestFit="1" customWidth="1"/>
    <col min="7" max="7" width="8.7109375" bestFit="1" customWidth="1"/>
    <col min="8" max="8" width="28.140625" bestFit="1" customWidth="1"/>
    <col min="9" max="9" width="41.5703125" bestFit="1" customWidth="1"/>
    <col min="10" max="10" width="9.85546875" bestFit="1" customWidth="1"/>
    <col min="11" max="11" width="30.85546875" bestFit="1" customWidth="1"/>
    <col min="12" max="12" width="42.5703125" bestFit="1" customWidth="1"/>
    <col min="13" max="13" width="41.7109375" bestFit="1" customWidth="1"/>
    <col min="14" max="14" width="7.5703125" bestFit="1" customWidth="1"/>
    <col min="15" max="15" width="10.42578125" bestFit="1" customWidth="1"/>
    <col min="16" max="16" width="73.28515625" bestFit="1" customWidth="1"/>
  </cols>
  <sheetData>
    <row r="1" spans="1:16" s="2" customFormat="1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</row>
    <row r="2" spans="1:16" x14ac:dyDescent="0.25">
      <c r="A2" t="str">
        <f t="shared" ref="A2:A8" si="0">CLEAN("10")</f>
        <v>10</v>
      </c>
      <c r="B2" t="str">
        <f>CLEAN("18")</f>
        <v>18</v>
      </c>
      <c r="C2" s="1">
        <v>45925</v>
      </c>
      <c r="D2" t="str">
        <f>CLEAN("1000-02-39")</f>
        <v>1000-02-39</v>
      </c>
      <c r="E2" t="str">
        <f>CLEAN("303  ")</f>
        <v xml:space="preserve">303  </v>
      </c>
      <c r="F2" t="str">
        <f>CLEAN("$0 - $99,999             ")</f>
        <v xml:space="preserve">$0 - $99,999             </v>
      </c>
      <c r="G2" t="str">
        <f>CLEAN("MIS")</f>
        <v>MIS</v>
      </c>
      <c r="H2" t="str">
        <f>CLEAN("NONLET CONSTR/REAL ESTATE")</f>
        <v>NONLET CONSTR/REAL ESTATE</v>
      </c>
      <c r="I2" t="str">
        <f>CLEAN("ADMIN - OJT/SS DISC                ")</f>
        <v xml:space="preserve">ADMIN - OJT/SS DISC                </v>
      </c>
      <c r="J2" t="str">
        <f>CLEAN("OFF SYS")</f>
        <v>OFF SYS</v>
      </c>
      <c r="K2" t="str">
        <f>CLEAN("STATEWIDE                     ")</f>
        <v xml:space="preserve">STATEWIDE                     </v>
      </c>
      <c r="L2" t="str">
        <f>CLEAN("NATIVE AMER WORKFORCE RE-ENTRY PGM ")</f>
        <v xml:space="preserve">NATIVE AMER WORKFORCE RE-ENTRY PGM </v>
      </c>
      <c r="M2" t="str">
        <f>CLEAN("STRATEGIC WORKFORCE DEV OJT/SS     ")</f>
        <v xml:space="preserve">STRATEGIC WORKFORCE DEV OJT/SS     </v>
      </c>
      <c r="N2">
        <v>0</v>
      </c>
      <c r="O2" t="str">
        <f t="shared" ref="O2:O33" si="1">CLEAN("          ")</f>
        <v xml:space="preserve">          </v>
      </c>
      <c r="P2" t="str">
        <f>CLEAN("STP - DISCRETIONARY                                                                                 ")</f>
        <v xml:space="preserve">STP - DISCRETIONARY                                                                                 </v>
      </c>
    </row>
    <row r="3" spans="1:16" x14ac:dyDescent="0.25">
      <c r="A3" t="str">
        <f t="shared" si="0"/>
        <v>10</v>
      </c>
      <c r="B3" t="str">
        <f>CLEAN("18")</f>
        <v>18</v>
      </c>
      <c r="C3" s="1">
        <v>46228</v>
      </c>
      <c r="D3" t="str">
        <f>CLEAN("1000-02-41")</f>
        <v>1000-02-41</v>
      </c>
      <c r="E3" t="str">
        <f>CLEAN("303  ")</f>
        <v xml:space="preserve">303  </v>
      </c>
      <c r="F3" t="str">
        <f>CLEAN("$500,000 - $749,999      ")</f>
        <v xml:space="preserve">$500,000 - $749,999      </v>
      </c>
      <c r="G3" t="str">
        <f>CLEAN("MIS")</f>
        <v>MIS</v>
      </c>
      <c r="H3" t="str">
        <f>CLEAN("NONLET CONSTR/REAL ESTATE")</f>
        <v>NONLET CONSTR/REAL ESTATE</v>
      </c>
      <c r="I3" t="str">
        <f>CLEAN("ADMIN - TRAINING OJT/SS PROGRAM    ")</f>
        <v xml:space="preserve">ADMIN - TRAINING OJT/SS PROGRAM    </v>
      </c>
      <c r="J3" t="str">
        <f>CLEAN("OFF SYS")</f>
        <v>OFF SYS</v>
      </c>
      <c r="K3" t="str">
        <f>CLEAN("STATEWIDE                     ")</f>
        <v xml:space="preserve">STATEWIDE                     </v>
      </c>
      <c r="L3" t="str">
        <f>CLEAN("SFY 25/26/27 HWY CONST SKILL TRAIN ")</f>
        <v xml:space="preserve">SFY 25/26/27 HWY CONST SKILL TRAIN </v>
      </c>
      <c r="M3" t="str">
        <f>CLEAN("OJT/SS PROGRAM FFY 24/25/26        ")</f>
        <v xml:space="preserve">OJT/SS PROGRAM FFY 24/25/26        </v>
      </c>
      <c r="N3">
        <v>0</v>
      </c>
      <c r="O3" t="str">
        <f t="shared" si="1"/>
        <v xml:space="preserve">          </v>
      </c>
      <c r="P3" t="str">
        <f>CLEAN("STP - DISCRETIONARY                                                                                 ")</f>
        <v xml:space="preserve">STP - DISCRETIONARY                                                                                 </v>
      </c>
    </row>
    <row r="4" spans="1:16" x14ac:dyDescent="0.25">
      <c r="A4" t="str">
        <f t="shared" si="0"/>
        <v>10</v>
      </c>
      <c r="B4" t="str">
        <f>CLEAN("22")</f>
        <v>22</v>
      </c>
      <c r="C4" s="1">
        <v>46106</v>
      </c>
      <c r="D4" t="str">
        <f>CLEAN("1000-07-10")</f>
        <v>1000-07-10</v>
      </c>
      <c r="E4" t="str">
        <f>CLEAN("206  ")</f>
        <v xml:space="preserve">206  </v>
      </c>
      <c r="F4" t="str">
        <f>CLEAN("$250,000 - $499,999      ")</f>
        <v xml:space="preserve">$250,000 - $499,999      </v>
      </c>
      <c r="G4" t="str">
        <f>CLEAN("MIS")</f>
        <v>MIS</v>
      </c>
      <c r="H4" t="str">
        <f>CLEAN("NONLET CONSTR/REAL ESTATE")</f>
        <v>NONLET CONSTR/REAL ESTATE</v>
      </c>
      <c r="I4" t="str">
        <f>CLEAN("MISC/ORTHOPHOTO MAPPING            ")</f>
        <v xml:space="preserve">MISC/ORTHOPHOTO MAPPING            </v>
      </c>
      <c r="J4" t="str">
        <f>CLEAN("NON HWY")</f>
        <v>NON HWY</v>
      </c>
      <c r="K4" t="str">
        <f>CLEAN("MILWAUKEE                     ")</f>
        <v xml:space="preserve">MILWAUKEE                     </v>
      </c>
      <c r="L4" t="str">
        <f>CLEAN("SEWRPC SUPPORT                     ")</f>
        <v xml:space="preserve">SEWRPC SUPPORT                     </v>
      </c>
      <c r="M4" t="str">
        <f>CLEAN("2026 ORTHOPHOTGRAPHIC MAPPING      ")</f>
        <v xml:space="preserve">2026 ORTHOPHOTGRAPHIC MAPPING      </v>
      </c>
      <c r="N4">
        <v>0</v>
      </c>
      <c r="O4" t="str">
        <f t="shared" si="1"/>
        <v xml:space="preserve">          </v>
      </c>
      <c r="P4" t="str">
        <f>CLEAN("STP URBAN OVER 200,000                                                                              ")</f>
        <v xml:space="preserve">STP URBAN OVER 200,000                                                                              </v>
      </c>
    </row>
    <row r="5" spans="1:16" x14ac:dyDescent="0.25">
      <c r="A5" t="str">
        <f t="shared" si="0"/>
        <v>10</v>
      </c>
      <c r="B5" t="str">
        <f>CLEAN("25")</f>
        <v>25</v>
      </c>
      <c r="C5" s="1">
        <v>46198</v>
      </c>
      <c r="D5" t="str">
        <f>CLEAN("1000-08-44")</f>
        <v>1000-08-44</v>
      </c>
      <c r="E5" t="str">
        <f>CLEAN("303  ")</f>
        <v xml:space="preserve">303  </v>
      </c>
      <c r="F5" t="str">
        <f>CLEAN("$1,000,000 - $1,999,999  ")</f>
        <v xml:space="preserve">$1,000,000 - $1,999,999  </v>
      </c>
      <c r="G5" t="str">
        <f>CLEAN("MIS")</f>
        <v>MIS</v>
      </c>
      <c r="H5" t="str">
        <f>CLEAN("NONLET CONSTR/REAL ESTATE")</f>
        <v>NONLET CONSTR/REAL ESTATE</v>
      </c>
      <c r="I5" t="str">
        <f>CLEAN("EX- LFA/LEVEL-OF-EFFORT SFY 2026   ")</f>
        <v xml:space="preserve">EX- LFA/LEVEL-OF-EFFORT SFY 2026   </v>
      </c>
      <c r="J5" t="str">
        <f>CLEAN("VAR HWY")</f>
        <v>VAR HWY</v>
      </c>
      <c r="K5" t="str">
        <f>CLEAN("NORTHWEST REGION WIDE         ")</f>
        <v xml:space="preserve">NORTHWEST REGION WIDE         </v>
      </c>
      <c r="L5" t="str">
        <f>CLEAN("NORTHWEST REGION - VARIOUS HIGHWAYS")</f>
        <v>NORTHWEST REGION - VARIOUS HIGHWAYS</v>
      </c>
      <c r="M5" t="str">
        <f>CLEAN("LFA/LOE - SFY2026                  ")</f>
        <v xml:space="preserve">LFA/LOE - SFY2026                  </v>
      </c>
      <c r="N5">
        <v>0</v>
      </c>
      <c r="O5" t="str">
        <f t="shared" si="1"/>
        <v xml:space="preserve">          </v>
      </c>
      <c r="P5" t="str">
        <f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6" spans="1:16" x14ac:dyDescent="0.25">
      <c r="A6" t="str">
        <f t="shared" si="0"/>
        <v>10</v>
      </c>
      <c r="B6" t="str">
        <f>CLEAN("25")</f>
        <v>25</v>
      </c>
      <c r="C6" s="1">
        <v>46000</v>
      </c>
      <c r="D6" t="str">
        <f>CLEAN("1000-18-64")</f>
        <v>1000-18-64</v>
      </c>
      <c r="E6" t="str">
        <f>CLEAN("305  ")</f>
        <v xml:space="preserve">305  </v>
      </c>
      <c r="F6" t="str">
        <f>CLEAN("$2,000,000 - $2,999,999  ")</f>
        <v xml:space="preserve">$2,000,000 - $2,999,999  </v>
      </c>
      <c r="G6" t="str">
        <f>CLEAN("LET")</f>
        <v>LET</v>
      </c>
      <c r="H6" t="str">
        <f>CLEAN("LET CONSTRUCTION         ")</f>
        <v xml:space="preserve">LET CONSTRUCTION         </v>
      </c>
      <c r="I6" t="str">
        <f>CLEAN("CONST/TRF/PVMT MRK/STN ANNUAL PLN  ")</f>
        <v xml:space="preserve">CONST/TRF/PVMT MRK/STN ANNUAL PLN  </v>
      </c>
      <c r="J6" t="str">
        <f>CLEAN("VAR HWY")</f>
        <v>VAR HWY</v>
      </c>
      <c r="K6" t="str">
        <f>CLEAN("NORTHWEST REGION WIDE         ")</f>
        <v xml:space="preserve">NORTHWEST REGION WIDE         </v>
      </c>
      <c r="L6" t="str">
        <f>CLEAN("NW REGION, PAVEMENT MARKING 2026   ")</f>
        <v xml:space="preserve">NW REGION, PAVEMENT MARKING 2026   </v>
      </c>
      <c r="M6" t="str">
        <f>CLEAN("VARIOUS HIGHWAYS, NW REGION WIDE   ")</f>
        <v xml:space="preserve">VARIOUS HIGHWAYS, NW REGION WIDE   </v>
      </c>
      <c r="N6">
        <v>0</v>
      </c>
      <c r="O6" t="str">
        <f t="shared" si="1"/>
        <v xml:space="preserve">          </v>
      </c>
      <c r="P6" t="str">
        <f>CLEAN("STATE HIGHWAY OPERATIONS PROGRAM                                                                    ")</f>
        <v xml:space="preserve">STATE HIGHWAY OPERATIONS PROGRAM                                                                    </v>
      </c>
    </row>
    <row r="7" spans="1:16" x14ac:dyDescent="0.25">
      <c r="A7" t="str">
        <f t="shared" si="0"/>
        <v>10</v>
      </c>
      <c r="B7" t="str">
        <f>CLEAN("17")</f>
        <v>17</v>
      </c>
      <c r="C7" s="1">
        <v>46063</v>
      </c>
      <c r="D7" t="str">
        <f>CLEAN("1000-20-84")</f>
        <v>1000-20-84</v>
      </c>
      <c r="E7" t="str">
        <f>CLEAN("305  ")</f>
        <v xml:space="preserve">305  </v>
      </c>
      <c r="F7" t="str">
        <f>CLEAN("$500,000 - $749,999      ")</f>
        <v xml:space="preserve">$500,000 - $749,999      </v>
      </c>
      <c r="G7" t="str">
        <f>CLEAN("LET")</f>
        <v>LET</v>
      </c>
      <c r="H7" t="str">
        <f>CLEAN("LET CONSTRUCTION         ")</f>
        <v xml:space="preserve">LET CONSTRUCTION         </v>
      </c>
      <c r="I7" t="str">
        <f>CLEAN("CONSTRUCTION/2025 SIGN REPLACEMENTS")</f>
        <v>CONSTRUCTION/2025 SIGN REPLACEMENTS</v>
      </c>
      <c r="J7" t="str">
        <f>CLEAN("VAR HWY")</f>
        <v>VAR HWY</v>
      </c>
      <c r="K7" t="str">
        <f>CLEAN("STATEWIDE                     ")</f>
        <v xml:space="preserve">STATEWIDE                     </v>
      </c>
      <c r="L7" t="str">
        <f>CLEAN("STATEWIDE TYPE 1 SIGN REPLACEMENT  ")</f>
        <v xml:space="preserve">STATEWIDE TYPE 1 SIGN REPLACEMENT  </v>
      </c>
      <c r="M7" t="str">
        <f>CLEAN("LOCATIONS ON STN PER ANNUAL PLAN   ")</f>
        <v xml:space="preserve">LOCATIONS ON STN PER ANNUAL PLAN   </v>
      </c>
      <c r="N7">
        <v>0</v>
      </c>
      <c r="O7" t="str">
        <f t="shared" si="1"/>
        <v xml:space="preserve">          </v>
      </c>
      <c r="P7" t="str">
        <f>CLEAN("STATE HIGHWAY OPERATIONS PROGRAM                                                                    ")</f>
        <v xml:space="preserve">STATE HIGHWAY OPERATIONS PROGRAM                                                                    </v>
      </c>
    </row>
    <row r="8" spans="1:16" x14ac:dyDescent="0.25">
      <c r="A8" t="str">
        <f t="shared" si="0"/>
        <v>10</v>
      </c>
      <c r="B8" t="str">
        <f>CLEAN("25")</f>
        <v>25</v>
      </c>
      <c r="C8" s="1">
        <v>46047</v>
      </c>
      <c r="D8" t="str">
        <f>CLEAN("1000-28-22")</f>
        <v>1000-28-22</v>
      </c>
      <c r="E8" t="str">
        <f>CLEAN("303  ")</f>
        <v xml:space="preserve">303  </v>
      </c>
      <c r="F8" t="str">
        <f>CLEAN("$0 - $99,999             ")</f>
        <v xml:space="preserve">$0 - $99,999             </v>
      </c>
      <c r="G8" t="str">
        <f>CLEAN("R/E")</f>
        <v>R/E</v>
      </c>
      <c r="H8" t="str">
        <f t="shared" ref="H8:H16" si="2">CLEAN("NONLET CONSTR/REAL ESTATE")</f>
        <v>NONLET CONSTR/REAL ESTATE</v>
      </c>
      <c r="I8" t="str">
        <f>CLEAN("REAL ESTATE ACQUISITION            ")</f>
        <v xml:space="preserve">REAL ESTATE ACQUISITION            </v>
      </c>
      <c r="J8" t="str">
        <f>CLEAN("VAR HWY")</f>
        <v>VAR HWY</v>
      </c>
      <c r="K8" t="str">
        <f>CLEAN("ST. CROIX                     ")</f>
        <v xml:space="preserve">ST. CROIX                     </v>
      </c>
      <c r="L8" t="str">
        <f>CLEAN("NW REGION, WINGWALL REPAIRS        ")</f>
        <v xml:space="preserve">NW REGION, WINGWALL REPAIRS        </v>
      </c>
      <c r="M8" t="str">
        <f>CLEAN("VAR HWYS, MULTIPLE STRUCTURES      ")</f>
        <v xml:space="preserve">VAR HWYS, MULTIPLE STRUCTURES      </v>
      </c>
      <c r="N8">
        <v>0</v>
      </c>
      <c r="O8" t="str">
        <f t="shared" si="1"/>
        <v xml:space="preserve">          </v>
      </c>
      <c r="P8" t="str">
        <f>CLEAN("SHR BRIDGES                                                                                         ")</f>
        <v xml:space="preserve">SHR BRIDGES                                                                                         </v>
      </c>
    </row>
    <row r="9" spans="1:16" x14ac:dyDescent="0.25">
      <c r="A9" t="str">
        <f t="shared" ref="A9:B22" si="3">CLEAN("08")</f>
        <v>08</v>
      </c>
      <c r="B9" t="str">
        <f t="shared" si="3"/>
        <v>08</v>
      </c>
      <c r="C9" s="1">
        <v>45894</v>
      </c>
      <c r="D9" t="str">
        <f>CLEAN("1000-74-20")</f>
        <v>1000-74-20</v>
      </c>
      <c r="E9" t="str">
        <f t="shared" ref="E9:E22" si="4">CLEAN("207  ")</f>
        <v xml:space="preserve">207  </v>
      </c>
      <c r="F9" t="str">
        <f>CLEAN("$100,000-$249,999        ")</f>
        <v xml:space="preserve">$100,000-$249,999        </v>
      </c>
      <c r="G9" t="str">
        <f>CLEAN("R/E")</f>
        <v>R/E</v>
      </c>
      <c r="H9" t="str">
        <f t="shared" si="2"/>
        <v>NONLET CONSTR/REAL ESTATE</v>
      </c>
      <c r="I9" t="str">
        <f>CLEAN("EX-INFRASTURE IMP FOR 2ND RND TRIP ")</f>
        <v xml:space="preserve">EX-INFRASTURE IMP FOR 2ND RND TRIP </v>
      </c>
      <c r="J9" t="str">
        <f t="shared" ref="J9:J22" si="5">CLEAN("NON HWY")</f>
        <v>NON HWY</v>
      </c>
      <c r="K9" t="str">
        <f t="shared" ref="K9:K22" si="6">CLEAN("LA CROSSE                     ")</f>
        <v xml:space="preserve">LA CROSSE                     </v>
      </c>
      <c r="L9" t="str">
        <f t="shared" ref="L9:L19" si="7">CLEAN("TCMC INTERCITY PASSENGER RAIL GRANT")</f>
        <v>TCMC INTERCITY PASSENGER RAIL GRANT</v>
      </c>
      <c r="M9" t="str">
        <f>CLEAN("LA CROSSE-ST. PAUL/MNDOT ID T9AG322")</f>
        <v>LA CROSSE-ST. PAUL/MNDOT ID T9AG322</v>
      </c>
      <c r="N9">
        <v>0</v>
      </c>
      <c r="O9" t="str">
        <f t="shared" si="1"/>
        <v xml:space="preserve">          </v>
      </c>
      <c r="P9" t="str">
        <f t="shared" ref="P9:P22" si="8">CLEAN("SAFETY - RAILROAD, ELIMINATION OF HAZARDS                                                           ")</f>
        <v xml:space="preserve">SAFETY - RAILROAD, ELIMINATION OF HAZARDS                                                           </v>
      </c>
    </row>
    <row r="10" spans="1:16" x14ac:dyDescent="0.25">
      <c r="A10" t="str">
        <f t="shared" si="3"/>
        <v>08</v>
      </c>
      <c r="B10" t="str">
        <f t="shared" si="3"/>
        <v>08</v>
      </c>
      <c r="C10" s="1">
        <v>45894</v>
      </c>
      <c r="D10" t="str">
        <f>CLEAN("1000-74-21")</f>
        <v>1000-74-21</v>
      </c>
      <c r="E10" t="str">
        <f t="shared" si="4"/>
        <v xml:space="preserve">207  </v>
      </c>
      <c r="F10" t="str">
        <f>CLEAN("$100,000-$249,999        ")</f>
        <v xml:space="preserve">$100,000-$249,999        </v>
      </c>
      <c r="G10" t="str">
        <f>CLEAN("R/E")</f>
        <v>R/E</v>
      </c>
      <c r="H10" t="str">
        <f t="shared" si="2"/>
        <v>NONLET CONSTR/REAL ESTATE</v>
      </c>
      <c r="I10" t="str">
        <f>CLEAN("EX-INFRASTURE IMP FOR 2ND RND TRIP ")</f>
        <v xml:space="preserve">EX-INFRASTURE IMP FOR 2ND RND TRIP </v>
      </c>
      <c r="J10" t="str">
        <f t="shared" si="5"/>
        <v>NON HWY</v>
      </c>
      <c r="K10" t="str">
        <f t="shared" si="6"/>
        <v xml:space="preserve">LA CROSSE                     </v>
      </c>
      <c r="L10" t="str">
        <f t="shared" si="7"/>
        <v>TCMC INTERCITY PASSENGER RAIL GRANT</v>
      </c>
      <c r="M10" t="str">
        <f>CLEAN("LA CROSSE-ST. PAUL                 ")</f>
        <v xml:space="preserve">LA CROSSE-ST. PAUL                 </v>
      </c>
      <c r="N10">
        <v>0</v>
      </c>
      <c r="O10" t="str">
        <f t="shared" si="1"/>
        <v xml:space="preserve">          </v>
      </c>
      <c r="P10" t="str">
        <f t="shared" si="8"/>
        <v xml:space="preserve">SAFETY - RAILROAD, ELIMINATION OF HAZARDS                                                           </v>
      </c>
    </row>
    <row r="11" spans="1:16" x14ac:dyDescent="0.25">
      <c r="A11" t="str">
        <f t="shared" si="3"/>
        <v>08</v>
      </c>
      <c r="B11" t="str">
        <f t="shared" si="3"/>
        <v>08</v>
      </c>
      <c r="C11" s="1">
        <v>45894</v>
      </c>
      <c r="D11" t="str">
        <f>CLEAN("1000-74-40")</f>
        <v>1000-74-40</v>
      </c>
      <c r="E11" t="str">
        <f t="shared" si="4"/>
        <v xml:space="preserve">207  </v>
      </c>
      <c r="F11" t="str">
        <f>CLEAN("$1,000,000 - $1,999,999  ")</f>
        <v xml:space="preserve">$1,000,000 - $1,999,999  </v>
      </c>
      <c r="G11" t="str">
        <f>CLEAN("UTL")</f>
        <v>UTL</v>
      </c>
      <c r="H11" t="str">
        <f t="shared" si="2"/>
        <v>NONLET CONSTR/REAL ESTATE</v>
      </c>
      <c r="I11" t="str">
        <f>CLEAN("EX-INFRASTURE IMP FOR 2ND RND TRIP ")</f>
        <v xml:space="preserve">EX-INFRASTURE IMP FOR 2ND RND TRIP </v>
      </c>
      <c r="J11" t="str">
        <f t="shared" si="5"/>
        <v>NON HWY</v>
      </c>
      <c r="K11" t="str">
        <f t="shared" si="6"/>
        <v xml:space="preserve">LA CROSSE                     </v>
      </c>
      <c r="L11" t="str">
        <f t="shared" si="7"/>
        <v>TCMC INTERCITY PASSENGER RAIL GRANT</v>
      </c>
      <c r="M11" t="str">
        <f>CLEAN("LA CROSSE-ST. PAUL/MNDOT ID T9AG323")</f>
        <v>LA CROSSE-ST. PAUL/MNDOT ID T9AG323</v>
      </c>
      <c r="N11">
        <v>0</v>
      </c>
      <c r="O11" t="str">
        <f t="shared" si="1"/>
        <v xml:space="preserve">          </v>
      </c>
      <c r="P11" t="str">
        <f t="shared" si="8"/>
        <v xml:space="preserve">SAFETY - RAILROAD, ELIMINATION OF HAZARDS                                                           </v>
      </c>
    </row>
    <row r="12" spans="1:16" x14ac:dyDescent="0.25">
      <c r="A12" t="str">
        <f t="shared" si="3"/>
        <v>08</v>
      </c>
      <c r="B12" t="str">
        <f t="shared" si="3"/>
        <v>08</v>
      </c>
      <c r="C12" s="1">
        <v>45894</v>
      </c>
      <c r="D12" t="str">
        <f>CLEAN("1000-74-41")</f>
        <v>1000-74-41</v>
      </c>
      <c r="E12" t="str">
        <f t="shared" si="4"/>
        <v xml:space="preserve">207  </v>
      </c>
      <c r="F12" t="str">
        <f>CLEAN("$500,000 - $749,999      ")</f>
        <v xml:space="preserve">$500,000 - $749,999      </v>
      </c>
      <c r="G12" t="str">
        <f>CLEAN("UTL")</f>
        <v>UTL</v>
      </c>
      <c r="H12" t="str">
        <f t="shared" si="2"/>
        <v>NONLET CONSTR/REAL ESTATE</v>
      </c>
      <c r="I12" t="str">
        <f>CLEAN("EX-INFRASTURE IMP FOR 2ND RND TRIP ")</f>
        <v xml:space="preserve">EX-INFRASTURE IMP FOR 2ND RND TRIP </v>
      </c>
      <c r="J12" t="str">
        <f t="shared" si="5"/>
        <v>NON HWY</v>
      </c>
      <c r="K12" t="str">
        <f t="shared" si="6"/>
        <v xml:space="preserve">LA CROSSE                     </v>
      </c>
      <c r="L12" t="str">
        <f t="shared" si="7"/>
        <v>TCMC INTERCITY PASSENGER RAIL GRANT</v>
      </c>
      <c r="M12" t="str">
        <f>CLEAN("LA CROSSE-ST. PAUL                 ")</f>
        <v xml:space="preserve">LA CROSSE-ST. PAUL                 </v>
      </c>
      <c r="N12">
        <v>0</v>
      </c>
      <c r="O12" t="str">
        <f t="shared" si="1"/>
        <v xml:space="preserve">          </v>
      </c>
      <c r="P12" t="str">
        <f t="shared" si="8"/>
        <v xml:space="preserve">SAFETY - RAILROAD, ELIMINATION OF HAZARDS                                                           </v>
      </c>
    </row>
    <row r="13" spans="1:16" x14ac:dyDescent="0.25">
      <c r="A13" t="str">
        <f t="shared" si="3"/>
        <v>08</v>
      </c>
      <c r="B13" t="str">
        <f t="shared" si="3"/>
        <v>08</v>
      </c>
      <c r="C13" s="1">
        <v>45894</v>
      </c>
      <c r="D13" t="str">
        <f>CLEAN("1000-74-50")</f>
        <v>1000-74-50</v>
      </c>
      <c r="E13" t="str">
        <f t="shared" si="4"/>
        <v xml:space="preserve">207  </v>
      </c>
      <c r="F13" t="str">
        <f>CLEAN("$1,000,000 - $1,999,999  ")</f>
        <v xml:space="preserve">$1,000,000 - $1,999,999  </v>
      </c>
      <c r="G13" t="str">
        <f>CLEAN("R/R")</f>
        <v>R/R</v>
      </c>
      <c r="H13" t="str">
        <f t="shared" si="2"/>
        <v>NONLET CONSTR/REAL ESTATE</v>
      </c>
      <c r="I13" t="str">
        <f>CLEAN("EX- INFRASTURE IMP FOR 2ND RND TRIP")</f>
        <v>EX- INFRASTURE IMP FOR 2ND RND TRIP</v>
      </c>
      <c r="J13" t="str">
        <f t="shared" si="5"/>
        <v>NON HWY</v>
      </c>
      <c r="K13" t="str">
        <f t="shared" si="6"/>
        <v xml:space="preserve">LA CROSSE                     </v>
      </c>
      <c r="L13" t="str">
        <f t="shared" si="7"/>
        <v>TCMC INTERCITY PASSENGER RAIL GRANT</v>
      </c>
      <c r="M13" t="str">
        <f>CLEAN("LA CROSSE-ST. PAUL/MNDOT ID T9AG324")</f>
        <v>LA CROSSE-ST. PAUL/MNDOT ID T9AG324</v>
      </c>
      <c r="N13">
        <v>0.7</v>
      </c>
      <c r="O13" t="str">
        <f t="shared" si="1"/>
        <v xml:space="preserve">          </v>
      </c>
      <c r="P13" t="str">
        <f t="shared" si="8"/>
        <v xml:space="preserve">SAFETY - RAILROAD, ELIMINATION OF HAZARDS                                                           </v>
      </c>
    </row>
    <row r="14" spans="1:16" x14ac:dyDescent="0.25">
      <c r="A14" t="str">
        <f t="shared" si="3"/>
        <v>08</v>
      </c>
      <c r="B14" t="str">
        <f t="shared" si="3"/>
        <v>08</v>
      </c>
      <c r="C14" s="1">
        <v>45925</v>
      </c>
      <c r="D14" t="str">
        <f>CLEAN("1000-74-51")</f>
        <v>1000-74-51</v>
      </c>
      <c r="E14" t="str">
        <f t="shared" si="4"/>
        <v xml:space="preserve">207  </v>
      </c>
      <c r="F14" t="str">
        <f>CLEAN("$2,000,000 - $2,999,999  ")</f>
        <v xml:space="preserve">$2,000,000 - $2,999,999  </v>
      </c>
      <c r="G14" t="str">
        <f>CLEAN("R/R")</f>
        <v>R/R</v>
      </c>
      <c r="H14" t="str">
        <f t="shared" si="2"/>
        <v>NONLET CONSTR/REAL ESTATE</v>
      </c>
      <c r="I14" t="str">
        <f>CLEAN("EX-INFRASTR IMP 2ND RND TRP WI ONLY")</f>
        <v>EX-INFRASTR IMP 2ND RND TRP WI ONLY</v>
      </c>
      <c r="J14" t="str">
        <f t="shared" si="5"/>
        <v>NON HWY</v>
      </c>
      <c r="K14" t="str">
        <f t="shared" si="6"/>
        <v xml:space="preserve">LA CROSSE                     </v>
      </c>
      <c r="L14" t="str">
        <f t="shared" si="7"/>
        <v>TCMC INTERCITY PASSENGER RAIL GRANT</v>
      </c>
      <c r="M14" t="str">
        <f>CLEAN("LA CROSSE - ST. PAUL               ")</f>
        <v xml:space="preserve">LA CROSSE - ST. PAUL               </v>
      </c>
      <c r="N14">
        <v>0.7</v>
      </c>
      <c r="O14" t="str">
        <f t="shared" si="1"/>
        <v xml:space="preserve">          </v>
      </c>
      <c r="P14" t="str">
        <f t="shared" si="8"/>
        <v xml:space="preserve">SAFETY - RAILROAD, ELIMINATION OF HAZARDS                                                           </v>
      </c>
    </row>
    <row r="15" spans="1:16" x14ac:dyDescent="0.25">
      <c r="A15" t="str">
        <f t="shared" si="3"/>
        <v>08</v>
      </c>
      <c r="B15" t="str">
        <f t="shared" si="3"/>
        <v>08</v>
      </c>
      <c r="C15" s="1">
        <v>45925</v>
      </c>
      <c r="D15" t="str">
        <f>CLEAN("1000-74-53")</f>
        <v>1000-74-53</v>
      </c>
      <c r="E15" t="str">
        <f t="shared" si="4"/>
        <v xml:space="preserve">207  </v>
      </c>
      <c r="F15" t="str">
        <f>CLEAN("$9,000,000 - $9,999,999  ")</f>
        <v xml:space="preserve">$9,000,000 - $9,999,999  </v>
      </c>
      <c r="G15" t="str">
        <f>CLEAN("R/R")</f>
        <v>R/R</v>
      </c>
      <c r="H15" t="str">
        <f t="shared" si="2"/>
        <v>NONLET CONSTR/REAL ESTATE</v>
      </c>
      <c r="I15" t="str">
        <f>CLEAN("EX-INFRASTR IMP 2ND RND TRP MN ONLY")</f>
        <v>EX-INFRASTR IMP 2ND RND TRP MN ONLY</v>
      </c>
      <c r="J15" t="str">
        <f t="shared" si="5"/>
        <v>NON HWY</v>
      </c>
      <c r="K15" t="str">
        <f t="shared" si="6"/>
        <v xml:space="preserve">LA CROSSE                     </v>
      </c>
      <c r="L15" t="str">
        <f t="shared" si="7"/>
        <v>TCMC INTERCITY PASSENGER RAIL GRANT</v>
      </c>
      <c r="M15" t="str">
        <f>CLEAN("LA CROSSE-ST. PAUL/MNDOT ID T9AG325")</f>
        <v>LA CROSSE-ST. PAUL/MNDOT ID T9AG325</v>
      </c>
      <c r="N15">
        <v>0.7</v>
      </c>
      <c r="O15" t="str">
        <f t="shared" si="1"/>
        <v xml:space="preserve">          </v>
      </c>
      <c r="P15" t="str">
        <f t="shared" si="8"/>
        <v xml:space="preserve">SAFETY - RAILROAD, ELIMINATION OF HAZARDS                                                           </v>
      </c>
    </row>
    <row r="16" spans="1:16" x14ac:dyDescent="0.25">
      <c r="A16" t="str">
        <f t="shared" si="3"/>
        <v>08</v>
      </c>
      <c r="B16" t="str">
        <f t="shared" si="3"/>
        <v>08</v>
      </c>
      <c r="C16" s="1">
        <v>45894</v>
      </c>
      <c r="D16" t="str">
        <f>CLEAN("1000-74-55")</f>
        <v>1000-74-55</v>
      </c>
      <c r="E16" t="str">
        <f t="shared" si="4"/>
        <v xml:space="preserve">207  </v>
      </c>
      <c r="F16" t="str">
        <f>CLEAN("$8,000,000 - $8,999,999  ")</f>
        <v xml:space="preserve">$8,000,000 - $8,999,999  </v>
      </c>
      <c r="G16" t="str">
        <f>CLEAN("R/R")</f>
        <v>R/R</v>
      </c>
      <c r="H16" t="str">
        <f t="shared" si="2"/>
        <v>NONLET CONSTR/REAL ESTATE</v>
      </c>
      <c r="I16" t="str">
        <f>CLEAN("EX-INFRASTR IMP 2ND RND TRP MN ONLY")</f>
        <v>EX-INFRASTR IMP 2ND RND TRP MN ONLY</v>
      </c>
      <c r="J16" t="str">
        <f t="shared" si="5"/>
        <v>NON HWY</v>
      </c>
      <c r="K16" t="str">
        <f t="shared" si="6"/>
        <v xml:space="preserve">LA CROSSE                     </v>
      </c>
      <c r="L16" t="str">
        <f t="shared" si="7"/>
        <v>TCMC INTERCITY PASSENGER RAIL GRANT</v>
      </c>
      <c r="M16" t="str">
        <f>CLEAN("LA CROSSE-ST. PAUL/MNDOT ID T9AG347")</f>
        <v>LA CROSSE-ST. PAUL/MNDOT ID T9AG347</v>
      </c>
      <c r="N16">
        <v>0.7</v>
      </c>
      <c r="O16" t="str">
        <f t="shared" si="1"/>
        <v xml:space="preserve">          </v>
      </c>
      <c r="P16" t="str">
        <f t="shared" si="8"/>
        <v xml:space="preserve">SAFETY - RAILROAD, ELIMINATION OF HAZARDS                                                           </v>
      </c>
    </row>
    <row r="17" spans="1:16" x14ac:dyDescent="0.25">
      <c r="A17" t="str">
        <f t="shared" si="3"/>
        <v>08</v>
      </c>
      <c r="B17" t="str">
        <f t="shared" si="3"/>
        <v>08</v>
      </c>
      <c r="C17" s="1">
        <v>46245</v>
      </c>
      <c r="D17" t="str">
        <f>CLEAN("1000-74-70")</f>
        <v>1000-74-70</v>
      </c>
      <c r="E17" t="str">
        <f t="shared" si="4"/>
        <v xml:space="preserve">207  </v>
      </c>
      <c r="F17" t="str">
        <f>CLEAN("$1,000,000 - $1,999,999  ")</f>
        <v xml:space="preserve">$1,000,000 - $1,999,999  </v>
      </c>
      <c r="G17" t="str">
        <f>CLEAN("LET")</f>
        <v>LET</v>
      </c>
      <c r="H17" t="str">
        <f>CLEAN("LET CONSTRUCTION         ")</f>
        <v xml:space="preserve">LET CONSTRUCTION         </v>
      </c>
      <c r="I17" t="str">
        <f>CLEAN("EX-INFRASTR IMP FOR 2ND RND TRIP   ")</f>
        <v xml:space="preserve">EX-INFRASTR IMP FOR 2ND RND TRIP   </v>
      </c>
      <c r="J17" t="str">
        <f t="shared" si="5"/>
        <v>NON HWY</v>
      </c>
      <c r="K17" t="str">
        <f t="shared" si="6"/>
        <v xml:space="preserve">LA CROSSE                     </v>
      </c>
      <c r="L17" t="str">
        <f t="shared" si="7"/>
        <v>TCMC INTERCITY PASSENGER RAIL GRANT</v>
      </c>
      <c r="M17" t="str">
        <f>CLEAN("LA CROSSE - ST. PAUL               ")</f>
        <v xml:space="preserve">LA CROSSE - ST. PAUL               </v>
      </c>
      <c r="N17">
        <v>0.7</v>
      </c>
      <c r="O17" t="str">
        <f t="shared" si="1"/>
        <v xml:space="preserve">          </v>
      </c>
      <c r="P17" t="str">
        <f t="shared" si="8"/>
        <v xml:space="preserve">SAFETY - RAILROAD, ELIMINATION OF HAZARDS                                                           </v>
      </c>
    </row>
    <row r="18" spans="1:16" x14ac:dyDescent="0.25">
      <c r="A18" t="str">
        <f t="shared" si="3"/>
        <v>08</v>
      </c>
      <c r="B18" t="str">
        <f t="shared" si="3"/>
        <v>08</v>
      </c>
      <c r="C18" s="1">
        <v>46245</v>
      </c>
      <c r="D18" t="str">
        <f>CLEAN("1000-74-72")</f>
        <v>1000-74-72</v>
      </c>
      <c r="E18" t="str">
        <f t="shared" si="4"/>
        <v xml:space="preserve">207  </v>
      </c>
      <c r="F18" t="str">
        <f>CLEAN("$5,000,000 - $5,999,999  ")</f>
        <v xml:space="preserve">$5,000,000 - $5,999,999  </v>
      </c>
      <c r="G18" t="str">
        <f>CLEAN("LET")</f>
        <v>LET</v>
      </c>
      <c r="H18" t="str">
        <f>CLEAN("LET CONSTRUCTION         ")</f>
        <v xml:space="preserve">LET CONSTRUCTION         </v>
      </c>
      <c r="I18" t="str">
        <f>CLEAN("EX-INFRSTR IMP 2ND RND TRP MN ONLY ")</f>
        <v xml:space="preserve">EX-INFRSTR IMP 2ND RND TRP MN ONLY </v>
      </c>
      <c r="J18" t="str">
        <f t="shared" si="5"/>
        <v>NON HWY</v>
      </c>
      <c r="K18" t="str">
        <f t="shared" si="6"/>
        <v xml:space="preserve">LA CROSSE                     </v>
      </c>
      <c r="L18" t="str">
        <f t="shared" si="7"/>
        <v>TCMC INTERCITY PASSENGER RAIL GRANT</v>
      </c>
      <c r="M18" t="str">
        <f>CLEAN("MINNESOTA SECTION/WISDOT ID T9AG349")</f>
        <v>MINNESOTA SECTION/WISDOT ID T9AG349</v>
      </c>
      <c r="N18">
        <v>0.7</v>
      </c>
      <c r="O18" t="str">
        <f t="shared" si="1"/>
        <v xml:space="preserve">          </v>
      </c>
      <c r="P18" t="str">
        <f t="shared" si="8"/>
        <v xml:space="preserve">SAFETY - RAILROAD, ELIMINATION OF HAZARDS                                                           </v>
      </c>
    </row>
    <row r="19" spans="1:16" x14ac:dyDescent="0.25">
      <c r="A19" t="str">
        <f t="shared" si="3"/>
        <v>08</v>
      </c>
      <c r="B19" t="str">
        <f t="shared" si="3"/>
        <v>08</v>
      </c>
      <c r="C19" s="1">
        <v>45972</v>
      </c>
      <c r="D19" t="str">
        <f>CLEAN("1000-74-73")</f>
        <v>1000-74-73</v>
      </c>
      <c r="E19" t="str">
        <f t="shared" si="4"/>
        <v xml:space="preserve">207  </v>
      </c>
      <c r="F19" t="str">
        <f>CLEAN("$1,000,000 - $1,999,999  ")</f>
        <v xml:space="preserve">$1,000,000 - $1,999,999  </v>
      </c>
      <c r="G19" t="str">
        <f>CLEAN("LET")</f>
        <v>LET</v>
      </c>
      <c r="H19" t="str">
        <f>CLEAN("LET CONSTRUCTION         ")</f>
        <v xml:space="preserve">LET CONSTRUCTION         </v>
      </c>
      <c r="I19" t="str">
        <f>CLEAN("EX-INFRSTR IMP 2ND RND TRP WI ONLY ")</f>
        <v xml:space="preserve">EX-INFRSTR IMP 2ND RND TRP WI ONLY </v>
      </c>
      <c r="J19" t="str">
        <f t="shared" si="5"/>
        <v>NON HWY</v>
      </c>
      <c r="K19" t="str">
        <f t="shared" si="6"/>
        <v xml:space="preserve">LA CROSSE                     </v>
      </c>
      <c r="L19" t="str">
        <f t="shared" si="7"/>
        <v>TCMC INTERCITY PASSENGER RAIL GRANT</v>
      </c>
      <c r="M19" t="str">
        <f>CLEAN("WISCONSIN SECTION ONLY             ")</f>
        <v xml:space="preserve">WISCONSIN SECTION ONLY             </v>
      </c>
      <c r="N19">
        <v>0.7</v>
      </c>
      <c r="O19" t="str">
        <f t="shared" si="1"/>
        <v xml:space="preserve">          </v>
      </c>
      <c r="P19" t="str">
        <f t="shared" si="8"/>
        <v xml:space="preserve">SAFETY - RAILROAD, ELIMINATION OF HAZARDS                                                           </v>
      </c>
    </row>
    <row r="20" spans="1:16" x14ac:dyDescent="0.25">
      <c r="A20" t="str">
        <f t="shared" si="3"/>
        <v>08</v>
      </c>
      <c r="B20" t="str">
        <f t="shared" si="3"/>
        <v>08</v>
      </c>
      <c r="C20" s="1">
        <v>45894</v>
      </c>
      <c r="D20" t="str">
        <f>CLEAN("1000-75-51")</f>
        <v>1000-75-51</v>
      </c>
      <c r="E20" t="str">
        <f t="shared" si="4"/>
        <v xml:space="preserve">207  </v>
      </c>
      <c r="F20" t="str">
        <f>CLEAN("$100,000-$249,999        ")</f>
        <v xml:space="preserve">$100,000-$249,999        </v>
      </c>
      <c r="G20" t="str">
        <f>CLEAN("R/R")</f>
        <v>R/R</v>
      </c>
      <c r="H20" t="str">
        <f>CLEAN("NONLET CONSTR/REAL ESTATE")</f>
        <v>NONLET CONSTR/REAL ESTATE</v>
      </c>
      <c r="I20" t="str">
        <f>CLEAN("EX- RR CROSSING SURFACE            ")</f>
        <v xml:space="preserve">EX- RR CROSSING SURFACE            </v>
      </c>
      <c r="J20" t="str">
        <f t="shared" si="5"/>
        <v>NON HWY</v>
      </c>
      <c r="K20" t="str">
        <f t="shared" si="6"/>
        <v xml:space="preserve">LA CROSSE                     </v>
      </c>
      <c r="L20" t="str">
        <f>CLEAN("TCMC C WINONA BIERCE STREET        ")</f>
        <v xml:space="preserve">TCMC C WINONA BIERCE STREET        </v>
      </c>
      <c r="M20" t="str">
        <f>CLEAN("UP X-ING 391093Y/ MNDOT ID T9AG339 ")</f>
        <v xml:space="preserve">UP X-ING 391093Y/ MNDOT ID T9AG339 </v>
      </c>
      <c r="N20">
        <v>0.7</v>
      </c>
      <c r="O20" t="str">
        <f t="shared" si="1"/>
        <v xml:space="preserve">          </v>
      </c>
      <c r="P20" t="str">
        <f t="shared" si="8"/>
        <v xml:space="preserve">SAFETY - RAILROAD, ELIMINATION OF HAZARDS                                                           </v>
      </c>
    </row>
    <row r="21" spans="1:16" x14ac:dyDescent="0.25">
      <c r="A21" t="str">
        <f t="shared" si="3"/>
        <v>08</v>
      </c>
      <c r="B21" t="str">
        <f t="shared" si="3"/>
        <v>08</v>
      </c>
      <c r="C21" s="1">
        <v>45894</v>
      </c>
      <c r="D21" t="str">
        <f>CLEAN("1000-75-52")</f>
        <v>1000-75-52</v>
      </c>
      <c r="E21" t="str">
        <f t="shared" si="4"/>
        <v xml:space="preserve">207  </v>
      </c>
      <c r="F21" t="str">
        <f>CLEAN("$250,000 - $499,999      ")</f>
        <v xml:space="preserve">$250,000 - $499,999      </v>
      </c>
      <c r="G21" t="str">
        <f>CLEAN("R/R")</f>
        <v>R/R</v>
      </c>
      <c r="H21" t="str">
        <f>CLEAN("NONLET CONSTR/REAL ESTATE")</f>
        <v>NONLET CONSTR/REAL ESTATE</v>
      </c>
      <c r="I21" t="str">
        <f>CLEAN("EX- RR REPLACE BUNGALOW/ SIGNALS   ")</f>
        <v xml:space="preserve">EX- RR REPLACE BUNGALOW/ SIGNALS   </v>
      </c>
      <c r="J21" t="str">
        <f t="shared" si="5"/>
        <v>NON HWY</v>
      </c>
      <c r="K21" t="str">
        <f t="shared" si="6"/>
        <v xml:space="preserve">LA CROSSE                     </v>
      </c>
      <c r="L21" t="str">
        <f>CLEAN("TCMC C WINONA BIERCE ST X-ING      ")</f>
        <v xml:space="preserve">TCMC C WINONA BIERCE ST X-ING      </v>
      </c>
      <c r="M21" t="str">
        <f>CLEAN("CP X-ING 391093Y/ MNDOT ID T9AG326 ")</f>
        <v xml:space="preserve">CP X-ING 391093Y/ MNDOT ID T9AG326 </v>
      </c>
      <c r="N21">
        <v>0.7</v>
      </c>
      <c r="O21" t="str">
        <f t="shared" si="1"/>
        <v xml:space="preserve">          </v>
      </c>
      <c r="P21" t="str">
        <f t="shared" si="8"/>
        <v xml:space="preserve">SAFETY - RAILROAD, ELIMINATION OF HAZARDS                                                           </v>
      </c>
    </row>
    <row r="22" spans="1:16" x14ac:dyDescent="0.25">
      <c r="A22" t="str">
        <f t="shared" si="3"/>
        <v>08</v>
      </c>
      <c r="B22" t="str">
        <f t="shared" si="3"/>
        <v>08</v>
      </c>
      <c r="C22" s="1">
        <v>45894</v>
      </c>
      <c r="D22" t="str">
        <f>CLEAN("1000-75-56")</f>
        <v>1000-75-56</v>
      </c>
      <c r="E22" t="str">
        <f t="shared" si="4"/>
        <v xml:space="preserve">207  </v>
      </c>
      <c r="F22" t="str">
        <f>CLEAN("$250,000 - $499,999      ")</f>
        <v xml:space="preserve">$250,000 - $499,999      </v>
      </c>
      <c r="G22" t="str">
        <f>CLEAN("R/R")</f>
        <v>R/R</v>
      </c>
      <c r="H22" t="str">
        <f>CLEAN("NONLET CONSTR/REAL ESTATE")</f>
        <v>NONLET CONSTR/REAL ESTATE</v>
      </c>
      <c r="I22" t="str">
        <f>CLEAN("EX- RR SIGNALS MASTS W/ GATES      ")</f>
        <v xml:space="preserve">EX- RR SIGNALS MASTS W/ GATES      </v>
      </c>
      <c r="J22" t="str">
        <f t="shared" si="5"/>
        <v>NON HWY</v>
      </c>
      <c r="K22" t="str">
        <f t="shared" si="6"/>
        <v xml:space="preserve">LA CROSSE                     </v>
      </c>
      <c r="L22" t="str">
        <f>CLEAN("TCMC C WINONA HAMILTON ST X-ING    ")</f>
        <v xml:space="preserve">TCMC C WINONA HAMILTON ST X-ING    </v>
      </c>
      <c r="M22" t="str">
        <f>CLEAN("CP X-ING 391060L/ MNDOT ID T9AG327 ")</f>
        <v xml:space="preserve">CP X-ING 391060L/ MNDOT ID T9AG327 </v>
      </c>
      <c r="N22">
        <v>0.7</v>
      </c>
      <c r="O22" t="str">
        <f t="shared" si="1"/>
        <v xml:space="preserve">          </v>
      </c>
      <c r="P22" t="str">
        <f t="shared" si="8"/>
        <v xml:space="preserve">SAFETY - RAILROAD, ELIMINATION OF HAZARDS                                                           </v>
      </c>
    </row>
    <row r="23" spans="1:16" x14ac:dyDescent="0.25">
      <c r="A23" t="str">
        <f>CLEAN("10")</f>
        <v>10</v>
      </c>
      <c r="B23" t="str">
        <f>CLEAN("22")</f>
        <v>22</v>
      </c>
      <c r="C23" s="1">
        <v>46063</v>
      </c>
      <c r="D23" t="str">
        <f>CLEAN("1000-77-26")</f>
        <v>1000-77-26</v>
      </c>
      <c r="E23" t="str">
        <f>CLEAN("305  ")</f>
        <v xml:space="preserve">305  </v>
      </c>
      <c r="F23" t="str">
        <f>CLEAN("$3,000,000 - $3,999,999  ")</f>
        <v xml:space="preserve">$3,000,000 - $3,999,999  </v>
      </c>
      <c r="G23" t="str">
        <f>CLEAN("LET")</f>
        <v>LET</v>
      </c>
      <c r="H23" t="str">
        <f>CLEAN("LET CONSTRUCTION         ")</f>
        <v xml:space="preserve">LET CONSTRUCTION         </v>
      </c>
      <c r="I23" t="str">
        <f>CLEAN("CONST/PAVEMENT MARKING             ")</f>
        <v xml:space="preserve">CONST/PAVEMENT MARKING             </v>
      </c>
      <c r="J23" t="str">
        <f>CLEAN("VAR HWY")</f>
        <v>VAR HWY</v>
      </c>
      <c r="K23" t="str">
        <f>CLEAN("SOUTHEAST REGION WIDE         ")</f>
        <v xml:space="preserve">SOUTHEAST REGION WIDE         </v>
      </c>
      <c r="L23" t="str">
        <f>CLEAN("EPOXY PAVEMENT MARKING 2026        ")</f>
        <v xml:space="preserve">EPOXY PAVEMENT MARKING 2026        </v>
      </c>
      <c r="M23" t="str">
        <f>CLEAN("LOCATION ON STN PER ANNUAL PLAN    ")</f>
        <v xml:space="preserve">LOCATION ON STN PER ANNUAL PLAN    </v>
      </c>
      <c r="N23">
        <v>0</v>
      </c>
      <c r="O23" t="str">
        <f t="shared" si="1"/>
        <v xml:space="preserve">          </v>
      </c>
      <c r="P23" t="str">
        <f>CLEAN("STATE HIGHWAY OPERATIONS PROGRAM                                                                    ")</f>
        <v xml:space="preserve">STATE HIGHWAY OPERATIONS PROGRAM                                                                    </v>
      </c>
    </row>
    <row r="24" spans="1:16" x14ac:dyDescent="0.25">
      <c r="A24" t="str">
        <f t="shared" ref="A24:B38" si="9">CLEAN("08")</f>
        <v>08</v>
      </c>
      <c r="B24" t="str">
        <f t="shared" si="9"/>
        <v>08</v>
      </c>
      <c r="C24" s="1">
        <v>45894</v>
      </c>
      <c r="D24" t="str">
        <f>CLEAN("1000-77-50")</f>
        <v>1000-77-50</v>
      </c>
      <c r="E24" t="str">
        <f t="shared" ref="E24:E38" si="10">CLEAN("207  ")</f>
        <v xml:space="preserve">207  </v>
      </c>
      <c r="F24" t="str">
        <f>CLEAN("$100,000-$249,999        ")</f>
        <v xml:space="preserve">$100,000-$249,999        </v>
      </c>
      <c r="G24" t="str">
        <f t="shared" ref="G24:G38" si="11">CLEAN("R/R")</f>
        <v>R/R</v>
      </c>
      <c r="H24" t="str">
        <f t="shared" ref="H24:H38" si="12">CLEAN("NONLET CONSTR/REAL ESTATE")</f>
        <v>NONLET CONSTR/REAL ESTATE</v>
      </c>
      <c r="I24" t="str">
        <f>CLEAN("EX- RR SIGNALS                     ")</f>
        <v xml:space="preserve">EX- RR SIGNALS                     </v>
      </c>
      <c r="J24" t="str">
        <f t="shared" ref="J24:J38" si="13">CLEAN("NON HWY")</f>
        <v>NON HWY</v>
      </c>
      <c r="K24" t="str">
        <f t="shared" ref="K24:K38" si="14">CLEAN("LA CROSSE                     ")</f>
        <v xml:space="preserve">LA CROSSE                     </v>
      </c>
      <c r="L24" t="str">
        <f>CLEAN("TCMC C LACROSSE AVON/HAGAR ST. XNG ")</f>
        <v xml:space="preserve">TCMC C LACROSSE AVON/HAGAR ST. XNG </v>
      </c>
      <c r="M24" t="str">
        <f>CLEAN("CP X-ING 390935R                   ")</f>
        <v xml:space="preserve">CP X-ING 390935R                   </v>
      </c>
      <c r="N24">
        <v>0.7</v>
      </c>
      <c r="O24" t="str">
        <f t="shared" si="1"/>
        <v xml:space="preserve">          </v>
      </c>
      <c r="P24" t="str">
        <f t="shared" ref="P24:P38" si="15">CLEAN("SAFETY - RAILROAD, ELIMINATION OF HAZARDS                                                           ")</f>
        <v xml:space="preserve">SAFETY - RAILROAD, ELIMINATION OF HAZARDS                                                           </v>
      </c>
    </row>
    <row r="25" spans="1:16" x14ac:dyDescent="0.25">
      <c r="A25" t="str">
        <f t="shared" si="9"/>
        <v>08</v>
      </c>
      <c r="B25" t="str">
        <f t="shared" si="9"/>
        <v>08</v>
      </c>
      <c r="C25" s="1">
        <v>45894</v>
      </c>
      <c r="D25" t="str">
        <f>CLEAN("1000-77-51")</f>
        <v>1000-77-51</v>
      </c>
      <c r="E25" t="str">
        <f t="shared" si="10"/>
        <v xml:space="preserve">207  </v>
      </c>
      <c r="F25" t="str">
        <f>CLEAN("$1,000,000 - $1,999,999  ")</f>
        <v xml:space="preserve">$1,000,000 - $1,999,999  </v>
      </c>
      <c r="G25" t="str">
        <f t="shared" si="11"/>
        <v>R/R</v>
      </c>
      <c r="H25" t="str">
        <f t="shared" si="12"/>
        <v>NONLET CONSTR/REAL ESTATE</v>
      </c>
      <c r="I25" t="str">
        <f>CLEAN("EX- RR CROSSING SURFACE            ")</f>
        <v xml:space="preserve">EX- RR CROSSING SURFACE            </v>
      </c>
      <c r="J25" t="str">
        <f t="shared" si="13"/>
        <v>NON HWY</v>
      </c>
      <c r="K25" t="str">
        <f t="shared" si="14"/>
        <v xml:space="preserve">LA CROSSE                     </v>
      </c>
      <c r="L25" t="str">
        <f>CLEAN("TCMC C LACROSSE AVON/HAGAR ST. XNG ")</f>
        <v xml:space="preserve">TCMC C LACROSSE AVON/HAGAR ST. XNG </v>
      </c>
      <c r="M25" t="str">
        <f>CLEAN("CP X-ING 390935R                   ")</f>
        <v xml:space="preserve">CP X-ING 390935R                   </v>
      </c>
      <c r="N25">
        <v>0.7</v>
      </c>
      <c r="O25" t="str">
        <f t="shared" si="1"/>
        <v xml:space="preserve">          </v>
      </c>
      <c r="P25" t="str">
        <f t="shared" si="15"/>
        <v xml:space="preserve">SAFETY - RAILROAD, ELIMINATION OF HAZARDS                                                           </v>
      </c>
    </row>
    <row r="26" spans="1:16" x14ac:dyDescent="0.25">
      <c r="A26" t="str">
        <f t="shared" si="9"/>
        <v>08</v>
      </c>
      <c r="B26" t="str">
        <f t="shared" si="9"/>
        <v>08</v>
      </c>
      <c r="C26" s="1">
        <v>45894</v>
      </c>
      <c r="D26" t="str">
        <f>CLEAN("1000-77-52")</f>
        <v>1000-77-52</v>
      </c>
      <c r="E26" t="str">
        <f t="shared" si="10"/>
        <v xml:space="preserve">207  </v>
      </c>
      <c r="F26" t="str">
        <f>CLEAN("$100,000-$249,999        ")</f>
        <v xml:space="preserve">$100,000-$249,999        </v>
      </c>
      <c r="G26" t="str">
        <f t="shared" si="11"/>
        <v>R/R</v>
      </c>
      <c r="H26" t="str">
        <f t="shared" si="12"/>
        <v>NONLET CONSTR/REAL ESTATE</v>
      </c>
      <c r="I26" t="str">
        <f>CLEAN("EX- RR SIGNALS                     ")</f>
        <v xml:space="preserve">EX- RR SIGNALS                     </v>
      </c>
      <c r="J26" t="str">
        <f t="shared" si="13"/>
        <v>NON HWY</v>
      </c>
      <c r="K26" t="str">
        <f t="shared" si="14"/>
        <v xml:space="preserve">LA CROSSE                     </v>
      </c>
      <c r="L26" t="str">
        <f>CLEAN("TCMC C LACROSSE LIBERTY/ST CLOUD ST")</f>
        <v>TCMC C LACROSSE LIBERTY/ST CLOUD ST</v>
      </c>
      <c r="M26" t="str">
        <f>CLEAN("CP X-ING 390934J                   ")</f>
        <v xml:space="preserve">CP X-ING 390934J                   </v>
      </c>
      <c r="N26">
        <v>0.7</v>
      </c>
      <c r="O26" t="str">
        <f t="shared" si="1"/>
        <v xml:space="preserve">          </v>
      </c>
      <c r="P26" t="str">
        <f t="shared" si="15"/>
        <v xml:space="preserve">SAFETY - RAILROAD, ELIMINATION OF HAZARDS                                                           </v>
      </c>
    </row>
    <row r="27" spans="1:16" x14ac:dyDescent="0.25">
      <c r="A27" t="str">
        <f t="shared" si="9"/>
        <v>08</v>
      </c>
      <c r="B27" t="str">
        <f t="shared" si="9"/>
        <v>08</v>
      </c>
      <c r="C27" s="1">
        <v>45894</v>
      </c>
      <c r="D27" t="str">
        <f>CLEAN("1000-77-53")</f>
        <v>1000-77-53</v>
      </c>
      <c r="E27" t="str">
        <f t="shared" si="10"/>
        <v xml:space="preserve">207  </v>
      </c>
      <c r="F27" t="str">
        <f>CLEAN("$0 - $99,999             ")</f>
        <v xml:space="preserve">$0 - $99,999             </v>
      </c>
      <c r="G27" t="str">
        <f t="shared" si="11"/>
        <v>R/R</v>
      </c>
      <c r="H27" t="str">
        <f t="shared" si="12"/>
        <v>NONLET CONSTR/REAL ESTATE</v>
      </c>
      <c r="I27" t="str">
        <f>CLEAN("EX- RR CROSSING SURFACE            ")</f>
        <v xml:space="preserve">EX- RR CROSSING SURFACE            </v>
      </c>
      <c r="J27" t="str">
        <f t="shared" si="13"/>
        <v>NON HWY</v>
      </c>
      <c r="K27" t="str">
        <f t="shared" si="14"/>
        <v xml:space="preserve">LA CROSSE                     </v>
      </c>
      <c r="L27" t="str">
        <f>CLEAN("TCMC C LACROSSE LIBERTY/ST CLOUD ST")</f>
        <v>TCMC C LACROSSE LIBERTY/ST CLOUD ST</v>
      </c>
      <c r="M27" t="str">
        <f>CLEAN("CP X-ING 390934J                   ")</f>
        <v xml:space="preserve">CP X-ING 390934J                   </v>
      </c>
      <c r="N27">
        <v>0.7</v>
      </c>
      <c r="O27" t="str">
        <f t="shared" si="1"/>
        <v xml:space="preserve">          </v>
      </c>
      <c r="P27" t="str">
        <f t="shared" si="15"/>
        <v xml:space="preserve">SAFETY - RAILROAD, ELIMINATION OF HAZARDS                                                           </v>
      </c>
    </row>
    <row r="28" spans="1:16" x14ac:dyDescent="0.25">
      <c r="A28" t="str">
        <f t="shared" si="9"/>
        <v>08</v>
      </c>
      <c r="B28" t="str">
        <f t="shared" si="9"/>
        <v>08</v>
      </c>
      <c r="C28" s="1">
        <v>45894</v>
      </c>
      <c r="D28" t="str">
        <f>CLEAN("1000-77-54")</f>
        <v>1000-77-54</v>
      </c>
      <c r="E28" t="str">
        <f t="shared" si="10"/>
        <v xml:space="preserve">207  </v>
      </c>
      <c r="F28" t="str">
        <f>CLEAN("$250,000 - $499,999      ")</f>
        <v xml:space="preserve">$250,000 - $499,999      </v>
      </c>
      <c r="G28" t="str">
        <f t="shared" si="11"/>
        <v>R/R</v>
      </c>
      <c r="H28" t="str">
        <f t="shared" si="12"/>
        <v>NONLET CONSTR/REAL ESTATE</v>
      </c>
      <c r="I28" t="str">
        <f t="shared" ref="I28:I37" si="16">CLEAN("EX- RR SIGNALS                     ")</f>
        <v xml:space="preserve">EX- RR SIGNALS                     </v>
      </c>
      <c r="J28" t="str">
        <f t="shared" si="13"/>
        <v>NON HWY</v>
      </c>
      <c r="K28" t="str">
        <f t="shared" si="14"/>
        <v xml:space="preserve">LA CROSSE                     </v>
      </c>
      <c r="L28" t="str">
        <f>CLEAN("TCMC T CAMPBELL BAINBRIDGE ST X-ING")</f>
        <v>TCMC T CAMPBELL BAINBRIDGE ST X-ING</v>
      </c>
      <c r="M28" t="str">
        <f>CLEAN("CP X-ING 390968D                   ")</f>
        <v xml:space="preserve">CP X-ING 390968D                   </v>
      </c>
      <c r="N28">
        <v>0.7</v>
      </c>
      <c r="O28" t="str">
        <f t="shared" si="1"/>
        <v xml:space="preserve">          </v>
      </c>
      <c r="P28" t="str">
        <f t="shared" si="15"/>
        <v xml:space="preserve">SAFETY - RAILROAD, ELIMINATION OF HAZARDS                                                           </v>
      </c>
    </row>
    <row r="29" spans="1:16" x14ac:dyDescent="0.25">
      <c r="A29" t="str">
        <f t="shared" si="9"/>
        <v>08</v>
      </c>
      <c r="B29" t="str">
        <f t="shared" si="9"/>
        <v>08</v>
      </c>
      <c r="C29" s="1">
        <v>45894</v>
      </c>
      <c r="D29" t="str">
        <f>CLEAN("1000-78-50")</f>
        <v>1000-78-50</v>
      </c>
      <c r="E29" t="str">
        <f t="shared" si="10"/>
        <v xml:space="preserve">207  </v>
      </c>
      <c r="F29" t="str">
        <f>CLEAN("$0 - $99,999             ")</f>
        <v xml:space="preserve">$0 - $99,999             </v>
      </c>
      <c r="G29" t="str">
        <f t="shared" si="11"/>
        <v>R/R</v>
      </c>
      <c r="H29" t="str">
        <f t="shared" si="12"/>
        <v>NONLET CONSTR/REAL ESTATE</v>
      </c>
      <c r="I29" t="str">
        <f t="shared" si="16"/>
        <v xml:space="preserve">EX- RR SIGNALS                     </v>
      </c>
      <c r="J29" t="str">
        <f t="shared" si="13"/>
        <v>NON HWY</v>
      </c>
      <c r="K29" t="str">
        <f t="shared" si="14"/>
        <v xml:space="preserve">LA CROSSE                     </v>
      </c>
      <c r="L29" t="str">
        <f>CLEAN("TCMC C WINONA MANKATO AVE X-ING    ")</f>
        <v xml:space="preserve">TCMC C WINONA MANKATO AVE X-ING    </v>
      </c>
      <c r="M29" t="str">
        <f>CLEAN("CP X-ING 391055P/ MNDOT ID T9AG328 ")</f>
        <v xml:space="preserve">CP X-ING 391055P/ MNDOT ID T9AG328 </v>
      </c>
      <c r="N29">
        <v>0.7</v>
      </c>
      <c r="O29" t="str">
        <f t="shared" si="1"/>
        <v xml:space="preserve">          </v>
      </c>
      <c r="P29" t="str">
        <f t="shared" si="15"/>
        <v xml:space="preserve">SAFETY - RAILROAD, ELIMINATION OF HAZARDS                                                           </v>
      </c>
    </row>
    <row r="30" spans="1:16" x14ac:dyDescent="0.25">
      <c r="A30" t="str">
        <f t="shared" si="9"/>
        <v>08</v>
      </c>
      <c r="B30" t="str">
        <f t="shared" si="9"/>
        <v>08</v>
      </c>
      <c r="C30" s="1">
        <v>45894</v>
      </c>
      <c r="D30" t="str">
        <f>CLEAN("1000-78-51")</f>
        <v>1000-78-51</v>
      </c>
      <c r="E30" t="str">
        <f t="shared" si="10"/>
        <v xml:space="preserve">207  </v>
      </c>
      <c r="F30" t="str">
        <f>CLEAN("$100,000-$249,999        ")</f>
        <v xml:space="preserve">$100,000-$249,999        </v>
      </c>
      <c r="G30" t="str">
        <f t="shared" si="11"/>
        <v>R/R</v>
      </c>
      <c r="H30" t="str">
        <f t="shared" si="12"/>
        <v>NONLET CONSTR/REAL ESTATE</v>
      </c>
      <c r="I30" t="str">
        <f t="shared" si="16"/>
        <v xml:space="preserve">EX- RR SIGNALS                     </v>
      </c>
      <c r="J30" t="str">
        <f t="shared" si="13"/>
        <v>NON HWY</v>
      </c>
      <c r="K30" t="str">
        <f t="shared" si="14"/>
        <v xml:space="preserve">LA CROSSE                     </v>
      </c>
      <c r="L30" t="str">
        <f>CLEAN("TCMC C WINONA MAIN ST (STH 43) XING")</f>
        <v>TCMC C WINONA MAIN ST (STH 43) XING</v>
      </c>
      <c r="M30" t="str">
        <f>CLEAN("CP X-ING 391062A/ MNDOT ID T9AG329 ")</f>
        <v xml:space="preserve">CP X-ING 391062A/ MNDOT ID T9AG329 </v>
      </c>
      <c r="N30">
        <v>0.7</v>
      </c>
      <c r="O30" t="str">
        <f t="shared" si="1"/>
        <v xml:space="preserve">          </v>
      </c>
      <c r="P30" t="str">
        <f t="shared" si="15"/>
        <v xml:space="preserve">SAFETY - RAILROAD, ELIMINATION OF HAZARDS                                                           </v>
      </c>
    </row>
    <row r="31" spans="1:16" x14ac:dyDescent="0.25">
      <c r="A31" t="str">
        <f t="shared" si="9"/>
        <v>08</v>
      </c>
      <c r="B31" t="str">
        <f t="shared" si="9"/>
        <v>08</v>
      </c>
      <c r="C31" s="1">
        <v>45894</v>
      </c>
      <c r="D31" t="str">
        <f>CLEAN("1000-78-52")</f>
        <v>1000-78-52</v>
      </c>
      <c r="E31" t="str">
        <f t="shared" si="10"/>
        <v xml:space="preserve">207  </v>
      </c>
      <c r="F31" t="str">
        <f>CLEAN("$0 - $99,999             ")</f>
        <v xml:space="preserve">$0 - $99,999             </v>
      </c>
      <c r="G31" t="str">
        <f t="shared" si="11"/>
        <v>R/R</v>
      </c>
      <c r="H31" t="str">
        <f t="shared" si="12"/>
        <v>NONLET CONSTR/REAL ESTATE</v>
      </c>
      <c r="I31" t="str">
        <f t="shared" si="16"/>
        <v xml:space="preserve">EX- RR SIGNALS                     </v>
      </c>
      <c r="J31" t="str">
        <f t="shared" si="13"/>
        <v>NON HWY</v>
      </c>
      <c r="K31" t="str">
        <f t="shared" si="14"/>
        <v xml:space="preserve">LA CROSSE                     </v>
      </c>
      <c r="L31" t="str">
        <f>CLEAN("TCMC C WINONA HUFF ST X-ING        ")</f>
        <v xml:space="preserve">TCMC C WINONA HUFF ST X-ING        </v>
      </c>
      <c r="M31" t="str">
        <f>CLEAN("CP X-ING 391066C/ MNDOT ID T9AG330 ")</f>
        <v xml:space="preserve">CP X-ING 391066C/ MNDOT ID T9AG330 </v>
      </c>
      <c r="N31">
        <v>0.7</v>
      </c>
      <c r="O31" t="str">
        <f t="shared" si="1"/>
        <v xml:space="preserve">          </v>
      </c>
      <c r="P31" t="str">
        <f t="shared" si="15"/>
        <v xml:space="preserve">SAFETY - RAILROAD, ELIMINATION OF HAZARDS                                                           </v>
      </c>
    </row>
    <row r="32" spans="1:16" x14ac:dyDescent="0.25">
      <c r="A32" t="str">
        <f t="shared" si="9"/>
        <v>08</v>
      </c>
      <c r="B32" t="str">
        <f t="shared" si="9"/>
        <v>08</v>
      </c>
      <c r="C32" s="1">
        <v>45894</v>
      </c>
      <c r="D32" t="str">
        <f>CLEAN("1000-78-53")</f>
        <v>1000-78-53</v>
      </c>
      <c r="E32" t="str">
        <f t="shared" si="10"/>
        <v xml:space="preserve">207  </v>
      </c>
      <c r="F32" t="str">
        <f>CLEAN("$250,000 - $499,999      ")</f>
        <v xml:space="preserve">$250,000 - $499,999      </v>
      </c>
      <c r="G32" t="str">
        <f t="shared" si="11"/>
        <v>R/R</v>
      </c>
      <c r="H32" t="str">
        <f t="shared" si="12"/>
        <v>NONLET CONSTR/REAL ESTATE</v>
      </c>
      <c r="I32" t="str">
        <f t="shared" si="16"/>
        <v xml:space="preserve">EX- RR SIGNALS                     </v>
      </c>
      <c r="J32" t="str">
        <f t="shared" si="13"/>
        <v>NON HWY</v>
      </c>
      <c r="K32" t="str">
        <f t="shared" si="14"/>
        <v xml:space="preserve">LA CROSSE                     </v>
      </c>
      <c r="L32" t="str">
        <f>CLEAN("TCMC C WINONA GRAND ST X-ING       ")</f>
        <v xml:space="preserve">TCMC C WINONA GRAND ST X-ING       </v>
      </c>
      <c r="M32" t="str">
        <f>CLEAN("CP X-ING 391069X/ MNDOT ID T9AG331 ")</f>
        <v xml:space="preserve">CP X-ING 391069X/ MNDOT ID T9AG331 </v>
      </c>
      <c r="N32">
        <v>0.7</v>
      </c>
      <c r="O32" t="str">
        <f t="shared" si="1"/>
        <v xml:space="preserve">          </v>
      </c>
      <c r="P32" t="str">
        <f t="shared" si="15"/>
        <v xml:space="preserve">SAFETY - RAILROAD, ELIMINATION OF HAZARDS                                                           </v>
      </c>
    </row>
    <row r="33" spans="1:16" x14ac:dyDescent="0.25">
      <c r="A33" t="str">
        <f t="shared" si="9"/>
        <v>08</v>
      </c>
      <c r="B33" t="str">
        <f t="shared" si="9"/>
        <v>08</v>
      </c>
      <c r="C33" s="1">
        <v>45894</v>
      </c>
      <c r="D33" t="str">
        <f>CLEAN("1000-78-54")</f>
        <v>1000-78-54</v>
      </c>
      <c r="E33" t="str">
        <f t="shared" si="10"/>
        <v xml:space="preserve">207  </v>
      </c>
      <c r="F33" t="str">
        <f>CLEAN("$250,000 - $499,999      ")</f>
        <v xml:space="preserve">$250,000 - $499,999      </v>
      </c>
      <c r="G33" t="str">
        <f t="shared" si="11"/>
        <v>R/R</v>
      </c>
      <c r="H33" t="str">
        <f t="shared" si="12"/>
        <v>NONLET CONSTR/REAL ESTATE</v>
      </c>
      <c r="I33" t="str">
        <f t="shared" si="16"/>
        <v xml:space="preserve">EX- RR SIGNALS                     </v>
      </c>
      <c r="J33" t="str">
        <f t="shared" si="13"/>
        <v>NON HWY</v>
      </c>
      <c r="K33" t="str">
        <f t="shared" si="14"/>
        <v xml:space="preserve">LA CROSSE                     </v>
      </c>
      <c r="L33" t="str">
        <f>CLEAN("TCMC C WINONA SIOUX ST X-ING       ")</f>
        <v xml:space="preserve">TCMC C WINONA SIOUX ST X-ING       </v>
      </c>
      <c r="M33" t="str">
        <f>CLEAN("CP X-ING 391072F/ MNDOT ID T9AG332 ")</f>
        <v xml:space="preserve">CP X-ING 391072F/ MNDOT ID T9AG332 </v>
      </c>
      <c r="N33">
        <v>0.7</v>
      </c>
      <c r="O33" t="str">
        <f t="shared" si="1"/>
        <v xml:space="preserve">          </v>
      </c>
      <c r="P33" t="str">
        <f t="shared" si="15"/>
        <v xml:space="preserve">SAFETY - RAILROAD, ELIMINATION OF HAZARDS                                                           </v>
      </c>
    </row>
    <row r="34" spans="1:16" x14ac:dyDescent="0.25">
      <c r="A34" t="str">
        <f t="shared" si="9"/>
        <v>08</v>
      </c>
      <c r="B34" t="str">
        <f t="shared" si="9"/>
        <v>08</v>
      </c>
      <c r="C34" s="1">
        <v>45894</v>
      </c>
      <c r="D34" t="str">
        <f>CLEAN("1000-78-55")</f>
        <v>1000-78-55</v>
      </c>
      <c r="E34" t="str">
        <f t="shared" si="10"/>
        <v xml:space="preserve">207  </v>
      </c>
      <c r="F34" t="str">
        <f>CLEAN("$250,000 - $499,999      ")</f>
        <v xml:space="preserve">$250,000 - $499,999      </v>
      </c>
      <c r="G34" t="str">
        <f t="shared" si="11"/>
        <v>R/R</v>
      </c>
      <c r="H34" t="str">
        <f t="shared" si="12"/>
        <v>NONLET CONSTR/REAL ESTATE</v>
      </c>
      <c r="I34" t="str">
        <f t="shared" si="16"/>
        <v xml:space="preserve">EX- RR SIGNALS                     </v>
      </c>
      <c r="J34" t="str">
        <f t="shared" si="13"/>
        <v>NON HWY</v>
      </c>
      <c r="K34" t="str">
        <f t="shared" si="14"/>
        <v xml:space="preserve">LA CROSSE                     </v>
      </c>
      <c r="L34" t="str">
        <f>CLEAN("TCMC C WINONA 10TH ST X-ING        ")</f>
        <v xml:space="preserve">TCMC C WINONA 10TH ST X-ING        </v>
      </c>
      <c r="M34" t="str">
        <f>CLEAN("CP X-ING 391075B/ MNDOT ID T9AG333 ")</f>
        <v xml:space="preserve">CP X-ING 391075B/ MNDOT ID T9AG333 </v>
      </c>
      <c r="N34">
        <v>0.7</v>
      </c>
      <c r="O34" t="str">
        <f t="shared" ref="O34:O65" si="17">CLEAN("          ")</f>
        <v xml:space="preserve">          </v>
      </c>
      <c r="P34" t="str">
        <f t="shared" si="15"/>
        <v xml:space="preserve">SAFETY - RAILROAD, ELIMINATION OF HAZARDS                                                           </v>
      </c>
    </row>
    <row r="35" spans="1:16" x14ac:dyDescent="0.25">
      <c r="A35" t="str">
        <f t="shared" si="9"/>
        <v>08</v>
      </c>
      <c r="B35" t="str">
        <f t="shared" si="9"/>
        <v>08</v>
      </c>
      <c r="C35" s="1">
        <v>45894</v>
      </c>
      <c r="D35" t="str">
        <f>CLEAN("1000-78-56")</f>
        <v>1000-78-56</v>
      </c>
      <c r="E35" t="str">
        <f t="shared" si="10"/>
        <v xml:space="preserve">207  </v>
      </c>
      <c r="F35" t="str">
        <f>CLEAN("$0 - $99,999             ")</f>
        <v xml:space="preserve">$0 - $99,999             </v>
      </c>
      <c r="G35" t="str">
        <f t="shared" si="11"/>
        <v>R/R</v>
      </c>
      <c r="H35" t="str">
        <f t="shared" si="12"/>
        <v>NONLET CONSTR/REAL ESTATE</v>
      </c>
      <c r="I35" t="str">
        <f t="shared" si="16"/>
        <v xml:space="preserve">EX- RR SIGNALS                     </v>
      </c>
      <c r="J35" t="str">
        <f t="shared" si="13"/>
        <v>NON HWY</v>
      </c>
      <c r="K35" t="str">
        <f t="shared" si="14"/>
        <v xml:space="preserve">LA CROSSE                     </v>
      </c>
      <c r="L35" t="str">
        <f>CLEAN("TCMC C WINONA WABASHA/BAKER ST XING")</f>
        <v>TCMC C WINONA WABASHA/BAKER ST XING</v>
      </c>
      <c r="M35" t="str">
        <f>CLEAN("CP X-ING 391078W/ MNDOT ID T9AG334 ")</f>
        <v xml:space="preserve">CP X-ING 391078W/ MNDOT ID T9AG334 </v>
      </c>
      <c r="N35">
        <v>0.7</v>
      </c>
      <c r="O35" t="str">
        <f t="shared" si="17"/>
        <v xml:space="preserve">          </v>
      </c>
      <c r="P35" t="str">
        <f t="shared" si="15"/>
        <v xml:space="preserve">SAFETY - RAILROAD, ELIMINATION OF HAZARDS                                                           </v>
      </c>
    </row>
    <row r="36" spans="1:16" x14ac:dyDescent="0.25">
      <c r="A36" t="str">
        <f t="shared" si="9"/>
        <v>08</v>
      </c>
      <c r="B36" t="str">
        <f t="shared" si="9"/>
        <v>08</v>
      </c>
      <c r="C36" s="1">
        <v>45894</v>
      </c>
      <c r="D36" t="str">
        <f>CLEAN("1000-78-57")</f>
        <v>1000-78-57</v>
      </c>
      <c r="E36" t="str">
        <f t="shared" si="10"/>
        <v xml:space="preserve">207  </v>
      </c>
      <c r="F36" t="str">
        <f>CLEAN("$250,000 - $499,999      ")</f>
        <v xml:space="preserve">$250,000 - $499,999      </v>
      </c>
      <c r="G36" t="str">
        <f t="shared" si="11"/>
        <v>R/R</v>
      </c>
      <c r="H36" t="str">
        <f t="shared" si="12"/>
        <v>NONLET CONSTR/REAL ESTATE</v>
      </c>
      <c r="I36" t="str">
        <f t="shared" si="16"/>
        <v xml:space="preserve">EX- RR SIGNALS                     </v>
      </c>
      <c r="J36" t="str">
        <f t="shared" si="13"/>
        <v>NON HWY</v>
      </c>
      <c r="K36" t="str">
        <f t="shared" si="14"/>
        <v xml:space="preserve">LA CROSSE                     </v>
      </c>
      <c r="L36" t="str">
        <f>CLEAN("TCMC C WINONA BROADWAY/6TH ST X-ING")</f>
        <v>TCMC C WINONA BROADWAY/6TH ST X-ING</v>
      </c>
      <c r="M36" t="str">
        <f>CLEAN("CP X-ING 391079D/ MNDOT ID T9AG335 ")</f>
        <v xml:space="preserve">CP X-ING 391079D/ MNDOT ID T9AG335 </v>
      </c>
      <c r="N36">
        <v>0.7</v>
      </c>
      <c r="O36" t="str">
        <f t="shared" si="17"/>
        <v xml:space="preserve">          </v>
      </c>
      <c r="P36" t="str">
        <f t="shared" si="15"/>
        <v xml:space="preserve">SAFETY - RAILROAD, ELIMINATION OF HAZARDS                                                           </v>
      </c>
    </row>
    <row r="37" spans="1:16" x14ac:dyDescent="0.25">
      <c r="A37" t="str">
        <f t="shared" si="9"/>
        <v>08</v>
      </c>
      <c r="B37" t="str">
        <f t="shared" si="9"/>
        <v>08</v>
      </c>
      <c r="C37" s="1">
        <v>45894</v>
      </c>
      <c r="D37" t="str">
        <f>CLEAN("1000-78-58")</f>
        <v>1000-78-58</v>
      </c>
      <c r="E37" t="str">
        <f t="shared" si="10"/>
        <v xml:space="preserve">207  </v>
      </c>
      <c r="F37" t="str">
        <f>CLEAN("$500,000 - $749,999      ")</f>
        <v xml:space="preserve">$500,000 - $749,999      </v>
      </c>
      <c r="G37" t="str">
        <f t="shared" si="11"/>
        <v>R/R</v>
      </c>
      <c r="H37" t="str">
        <f t="shared" si="12"/>
        <v>NONLET CONSTR/REAL ESTATE</v>
      </c>
      <c r="I37" t="str">
        <f t="shared" si="16"/>
        <v xml:space="preserve">EX- RR SIGNALS                     </v>
      </c>
      <c r="J37" t="str">
        <f t="shared" si="13"/>
        <v>NON HWY</v>
      </c>
      <c r="K37" t="str">
        <f t="shared" si="14"/>
        <v xml:space="preserve">LA CROSSE                     </v>
      </c>
      <c r="L37" t="str">
        <f>CLEAN("TCMC C WINONA 5TH/JACKSON ST X-ING ")</f>
        <v xml:space="preserve">TCMC C WINONA 5TH/JACKSON ST X-ING </v>
      </c>
      <c r="M37" t="str">
        <f>CLEAN("CP X-ING 391080X/ MNDOT ID T9AG336 ")</f>
        <v xml:space="preserve">CP X-ING 391080X/ MNDOT ID T9AG336 </v>
      </c>
      <c r="N37">
        <v>0.7</v>
      </c>
      <c r="O37" t="str">
        <f t="shared" si="17"/>
        <v xml:space="preserve">          </v>
      </c>
      <c r="P37" t="str">
        <f t="shared" si="15"/>
        <v xml:space="preserve">SAFETY - RAILROAD, ELIMINATION OF HAZARDS                                                           </v>
      </c>
    </row>
    <row r="38" spans="1:16" x14ac:dyDescent="0.25">
      <c r="A38" t="str">
        <f t="shared" si="9"/>
        <v>08</v>
      </c>
      <c r="B38" t="str">
        <f t="shared" si="9"/>
        <v>08</v>
      </c>
      <c r="C38" s="1">
        <v>45894</v>
      </c>
      <c r="D38" t="str">
        <f>CLEAN("1000-79-51")</f>
        <v>1000-79-51</v>
      </c>
      <c r="E38" t="str">
        <f t="shared" si="10"/>
        <v xml:space="preserve">207  </v>
      </c>
      <c r="F38" t="str">
        <f>CLEAN("$11,000,000 - $11,999,999")</f>
        <v>$11,000,000 - $11,999,999</v>
      </c>
      <c r="G38" t="str">
        <f t="shared" si="11"/>
        <v>R/R</v>
      </c>
      <c r="H38" t="str">
        <f t="shared" si="12"/>
        <v>NONLET CONSTR/REAL ESTATE</v>
      </c>
      <c r="I38" t="str">
        <f>CLEAN("EX-INFRASTR IMP 2ND RND TRP MN ONLY")</f>
        <v>EX-INFRASTR IMP 2ND RND TRP MN ONLY</v>
      </c>
      <c r="J38" t="str">
        <f t="shared" si="13"/>
        <v>NON HWY</v>
      </c>
      <c r="K38" t="str">
        <f t="shared" si="14"/>
        <v xml:space="preserve">LA CROSSE                     </v>
      </c>
      <c r="L38" t="str">
        <f>CLEAN("TCMC INTERCITY PASSENGER RAIL GRANT")</f>
        <v>TCMC INTERCITY PASSENGER RAIL GRANT</v>
      </c>
      <c r="M38" t="str">
        <f>CLEAN("LA CROSSE-ST. PAUL/MNDOT ID        ")</f>
        <v xml:space="preserve">LA CROSSE-ST. PAUL/MNDOT ID        </v>
      </c>
      <c r="N38">
        <v>0.7</v>
      </c>
      <c r="O38" t="str">
        <f t="shared" si="17"/>
        <v xml:space="preserve">          </v>
      </c>
      <c r="P38" t="str">
        <f t="shared" si="15"/>
        <v xml:space="preserve">SAFETY - RAILROAD, ELIMINATION OF HAZARDS                                                           </v>
      </c>
    </row>
    <row r="39" spans="1:16" x14ac:dyDescent="0.25">
      <c r="A39" t="str">
        <f>CLEAN("10")</f>
        <v>10</v>
      </c>
      <c r="B39" t="str">
        <f>CLEAN("21")</f>
        <v>21</v>
      </c>
      <c r="C39" s="1">
        <v>45944</v>
      </c>
      <c r="D39" t="str">
        <f>CLEAN("1009-13-92")</f>
        <v>1009-13-92</v>
      </c>
      <c r="E39" t="str">
        <f>CLEAN("305  ")</f>
        <v xml:space="preserve">305  </v>
      </c>
      <c r="F39" t="str">
        <f>CLEAN("$3,000,000 - $3,999,999  ")</f>
        <v xml:space="preserve">$3,000,000 - $3,999,999  </v>
      </c>
      <c r="G39" t="str">
        <f>CLEAN("LET")</f>
        <v>LET</v>
      </c>
      <c r="H39" t="str">
        <f>CLEAN("LET CONSTRUCTION         ")</f>
        <v xml:space="preserve">LET CONSTRUCTION         </v>
      </c>
      <c r="I39" t="str">
        <f>CLEAN("CONST/EPOXY PAV'T MARKING 2026/TOPM")</f>
        <v>CONST/EPOXY PAV'T MARKING 2026/TOPM</v>
      </c>
      <c r="J39" t="str">
        <f>CLEAN("VAR HWY")</f>
        <v>VAR HWY</v>
      </c>
      <c r="K39" t="str">
        <f>CLEAN("SOUTHWEST REGION WIDE         ")</f>
        <v xml:space="preserve">SOUTHWEST REGION WIDE         </v>
      </c>
      <c r="L39" t="str">
        <f>CLEAN("SW REGION PAVEMENT MARKING         ")</f>
        <v xml:space="preserve">SW REGION PAVEMENT MARKING         </v>
      </c>
      <c r="M39" t="str">
        <f>CLEAN("STN LOCATIONS PER ANNUAL PLAN      ")</f>
        <v xml:space="preserve">STN LOCATIONS PER ANNUAL PLAN      </v>
      </c>
      <c r="N39">
        <v>0</v>
      </c>
      <c r="O39" t="str">
        <f t="shared" si="17"/>
        <v xml:space="preserve">          </v>
      </c>
      <c r="P39" t="str">
        <f>CLEAN("STATE HIGHWAY OPERATIONS PROGRAM                                                                    ")</f>
        <v xml:space="preserve">STATE HIGHWAY OPERATIONS PROGRAM                                                                    </v>
      </c>
    </row>
    <row r="40" spans="1:16" x14ac:dyDescent="0.25">
      <c r="A40" t="str">
        <f>CLEAN("10")</f>
        <v>10</v>
      </c>
      <c r="B40" t="str">
        <f>CLEAN("15")</f>
        <v>15</v>
      </c>
      <c r="C40" s="1">
        <v>46154</v>
      </c>
      <c r="D40" t="str">
        <f>CLEAN("1009-23-72")</f>
        <v>1009-23-72</v>
      </c>
      <c r="E40" t="str">
        <f>CLEAN("303  ")</f>
        <v xml:space="preserve">303  </v>
      </c>
      <c r="F40" t="str">
        <f>CLEAN("$750,000 - $999,999      ")</f>
        <v xml:space="preserve">$750,000 - $999,999      </v>
      </c>
      <c r="G40" t="str">
        <f>CLEAN("LET")</f>
        <v>LET</v>
      </c>
      <c r="H40" t="str">
        <f>CLEAN("LET CONSTRUCTION         ")</f>
        <v xml:space="preserve">LET CONSTRUCTION         </v>
      </c>
      <c r="I40" t="str">
        <f>CLEAN("MITIGATION SITE CONSTRUCTION       ")</f>
        <v xml:space="preserve">MITIGATION SITE CONSTRUCTION       </v>
      </c>
      <c r="J40" t="str">
        <f>CLEAN("NON HWY")</f>
        <v>NON HWY</v>
      </c>
      <c r="K40" t="str">
        <f>CLEAN("WASHINGTON                    ")</f>
        <v xml:space="preserve">WASHINGTON                    </v>
      </c>
      <c r="L40" t="str">
        <f>CLEAN("DIVISION RD WETLAND MITIGATION SITE")</f>
        <v>DIVISION RD WETLAND MITIGATION SITE</v>
      </c>
      <c r="M40" t="str">
        <f>CLEAN("CEDAR LANE TO SPRING VALLEY ROAD   ")</f>
        <v xml:space="preserve">CEDAR LANE TO SPRING VALLEY ROAD   </v>
      </c>
      <c r="N40">
        <v>0</v>
      </c>
      <c r="O40" t="str">
        <f t="shared" si="17"/>
        <v xml:space="preserve">          </v>
      </c>
      <c r="P40" t="str">
        <f>CLEAN("WETLAND BANKING                                                                                     ")</f>
        <v xml:space="preserve">WETLAND BANKING                                                                                     </v>
      </c>
    </row>
    <row r="41" spans="1:16" x14ac:dyDescent="0.25">
      <c r="A41" t="str">
        <f>CLEAN("10")</f>
        <v>10</v>
      </c>
      <c r="B41" t="str">
        <f>CLEAN("15")</f>
        <v>15</v>
      </c>
      <c r="C41" s="1">
        <v>46228</v>
      </c>
      <c r="D41" t="str">
        <f>CLEAN("1009-24-19")</f>
        <v>1009-24-19</v>
      </c>
      <c r="E41" t="str">
        <f>CLEAN("303  ")</f>
        <v xml:space="preserve">303  </v>
      </c>
      <c r="F41" t="str">
        <f>CLEAN("$750,000 - $999,999      ")</f>
        <v xml:space="preserve">$750,000 - $999,999      </v>
      </c>
      <c r="G41" t="str">
        <f>CLEAN("MIS")</f>
        <v>MIS</v>
      </c>
      <c r="H41" t="str">
        <f>CLEAN("NONLET CONSTR/REAL ESTATE")</f>
        <v>NONLET CONSTR/REAL ESTATE</v>
      </c>
      <c r="I41" t="str">
        <f>CLEAN("                                   ")</f>
        <v xml:space="preserve">                                   </v>
      </c>
      <c r="J41" t="str">
        <f>CLEAN("NON HWY")</f>
        <v>NON HWY</v>
      </c>
      <c r="K41" t="str">
        <f>CLEAN("STATEWIDE                     ")</f>
        <v xml:space="preserve">STATEWIDE                     </v>
      </c>
      <c r="L41" t="str">
        <f>CLEAN("LITIGATION ON CLOSED REAL ESTATE   ")</f>
        <v xml:space="preserve">LITIGATION ON CLOSED REAL ESTATE   </v>
      </c>
      <c r="M41" t="str">
        <f>CLEAN("DOJ ANNUAL CONTRACT                ")</f>
        <v xml:space="preserve">DOJ ANNUAL CONTRACT                </v>
      </c>
      <c r="N41">
        <v>0</v>
      </c>
      <c r="O41" t="str">
        <f t="shared" si="17"/>
        <v xml:space="preserve">          </v>
      </c>
      <c r="P41" t="str">
        <f>CLEAN("STP - DISCRETIONARY                                                                                 ")</f>
        <v xml:space="preserve">STP - DISCRETIONARY                                                                                 </v>
      </c>
    </row>
    <row r="42" spans="1:16" x14ac:dyDescent="0.25">
      <c r="A42" t="str">
        <f>CLEAN("08")</f>
        <v>08</v>
      </c>
      <c r="B42" t="str">
        <f>CLEAN("08")</f>
        <v>08</v>
      </c>
      <c r="C42" s="1">
        <v>46167</v>
      </c>
      <c r="D42" t="str">
        <f>CLEAN("1009-24-24")</f>
        <v>1009-24-24</v>
      </c>
      <c r="E42" t="str">
        <f>CLEAN("290  ")</f>
        <v xml:space="preserve">290  </v>
      </c>
      <c r="F42" t="str">
        <f>CLEAN("$250,000 - $499,999      ")</f>
        <v xml:space="preserve">$250,000 - $499,999      </v>
      </c>
      <c r="G42" t="str">
        <f>CLEAN("MIS")</f>
        <v>MIS</v>
      </c>
      <c r="H42" t="str">
        <f>CLEAN("NONLET CONSTR/REAL ESTATE")</f>
        <v>NONLET CONSTR/REAL ESTATE</v>
      </c>
      <c r="I42" t="str">
        <f>CLEAN("SAFE ROUTES TO SCHOOL YEAR 1 AND 2 ")</f>
        <v xml:space="preserve">SAFE ROUTES TO SCHOOL YEAR 1 AND 2 </v>
      </c>
      <c r="J42" t="str">
        <f>CLEAN("NON HWY")</f>
        <v>NON HWY</v>
      </c>
      <c r="K42" t="str">
        <f>CLEAN("OUTAGAMIE                     ")</f>
        <v xml:space="preserve">OUTAGAMIE                     </v>
      </c>
      <c r="L42" t="str">
        <f>CLEAN("ECWRPC SRTS APPLETON TMA           ")</f>
        <v xml:space="preserve">ECWRPC SRTS APPLETON TMA           </v>
      </c>
      <c r="M42" t="str">
        <f>CLEAN("APPLETON TMA SRTS YR 1 AND 2       ")</f>
        <v xml:space="preserve">APPLETON TMA SRTS YR 1 AND 2       </v>
      </c>
      <c r="N42">
        <v>0</v>
      </c>
      <c r="O42" t="str">
        <f t="shared" si="17"/>
        <v xml:space="preserve">          </v>
      </c>
      <c r="P42" t="str">
        <f>CLEAN("TAP &gt; 200,000                                                                                       ")</f>
        <v xml:space="preserve">TAP &gt; 200,000                                                                                       </v>
      </c>
    </row>
    <row r="43" spans="1:16" x14ac:dyDescent="0.25">
      <c r="A43" t="str">
        <f t="shared" ref="A43:A51" si="18">CLEAN("10")</f>
        <v>10</v>
      </c>
      <c r="B43" t="str">
        <f>CLEAN("23")</f>
        <v>23</v>
      </c>
      <c r="C43" s="1">
        <v>46091</v>
      </c>
      <c r="D43" t="str">
        <f>CLEAN("1009-33-41")</f>
        <v>1009-33-41</v>
      </c>
      <c r="E43" t="str">
        <f>CLEAN("303  ")</f>
        <v xml:space="preserve">303  </v>
      </c>
      <c r="F43" t="str">
        <f>CLEAN("$1,000,000 - $1,999,999  ")</f>
        <v xml:space="preserve">$1,000,000 - $1,999,999  </v>
      </c>
      <c r="G43" t="str">
        <f>CLEAN("LET")</f>
        <v>LET</v>
      </c>
      <c r="H43" t="str">
        <f>CLEAN("LET CONSTRUCTION         ")</f>
        <v xml:space="preserve">LET CONSTRUCTION         </v>
      </c>
      <c r="I43" t="str">
        <f>CLEAN("CONST/BRPVTV NE REGION WIDE        ")</f>
        <v xml:space="preserve">CONST/BRPVTV NE REGION WIDE        </v>
      </c>
      <c r="J43" t="str">
        <f>CLEAN("VAR HWY")</f>
        <v>VAR HWY</v>
      </c>
      <c r="K43" t="str">
        <f>CLEAN("NORTHEAST REGION WIDE         ")</f>
        <v xml:space="preserve">NORTHEAST REGION WIDE         </v>
      </c>
      <c r="L43" t="str">
        <f>CLEAN("NE REGION WIDE DECK SEALING FY26   ")</f>
        <v xml:space="preserve">NE REGION WIDE DECK SEALING FY26   </v>
      </c>
      <c r="M43" t="str">
        <f>CLEAN("VARIOUS ROUTES/HWY                 ")</f>
        <v xml:space="preserve">VARIOUS ROUTES/HWY                 </v>
      </c>
      <c r="N43">
        <v>0</v>
      </c>
      <c r="O43" t="str">
        <f t="shared" si="17"/>
        <v xml:space="preserve">          </v>
      </c>
      <c r="P43" t="str">
        <f>CLEAN("BACKBONE                                                                                            ")</f>
        <v xml:space="preserve">BACKBONE                                                                                            </v>
      </c>
    </row>
    <row r="44" spans="1:16" x14ac:dyDescent="0.25">
      <c r="A44" t="str">
        <f t="shared" si="18"/>
        <v>10</v>
      </c>
      <c r="B44" t="str">
        <f>CLEAN("23")</f>
        <v>23</v>
      </c>
      <c r="C44" s="1">
        <v>46091</v>
      </c>
      <c r="D44" t="str">
        <f>CLEAN("1009-33-41")</f>
        <v>1009-33-41</v>
      </c>
      <c r="E44" t="str">
        <f>CLEAN("303  ")</f>
        <v xml:space="preserve">303  </v>
      </c>
      <c r="F44" t="str">
        <f>CLEAN("$1,000,000 - $1,999,999  ")</f>
        <v xml:space="preserve">$1,000,000 - $1,999,999  </v>
      </c>
      <c r="G44" t="str">
        <f>CLEAN("LET")</f>
        <v>LET</v>
      </c>
      <c r="H44" t="str">
        <f>CLEAN("LET CONSTRUCTION         ")</f>
        <v xml:space="preserve">LET CONSTRUCTION         </v>
      </c>
      <c r="I44" t="str">
        <f>CLEAN("CONST/BRPVTV NE REGION WIDE        ")</f>
        <v xml:space="preserve">CONST/BRPVTV NE REGION WIDE        </v>
      </c>
      <c r="J44" t="str">
        <f>CLEAN("VAR HWY")</f>
        <v>VAR HWY</v>
      </c>
      <c r="K44" t="str">
        <f>CLEAN("NORTHEAST REGION WIDE         ")</f>
        <v xml:space="preserve">NORTHEAST REGION WIDE         </v>
      </c>
      <c r="L44" t="str">
        <f>CLEAN("NE REGION WIDE DECK SEALING FY26   ")</f>
        <v xml:space="preserve">NE REGION WIDE DECK SEALING FY26   </v>
      </c>
      <c r="M44" t="str">
        <f>CLEAN("VARIOUS ROUTES/HWY                 ")</f>
        <v xml:space="preserve">VARIOUS ROUTES/HWY                 </v>
      </c>
      <c r="N44">
        <v>0</v>
      </c>
      <c r="O44" t="str">
        <f t="shared" si="17"/>
        <v xml:space="preserve">          </v>
      </c>
      <c r="P44" t="str">
        <f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45" spans="1:16" x14ac:dyDescent="0.25">
      <c r="A45" t="str">
        <f t="shared" si="18"/>
        <v>10</v>
      </c>
      <c r="B45" t="str">
        <f>CLEAN("23")</f>
        <v>23</v>
      </c>
      <c r="C45" s="1">
        <v>46063</v>
      </c>
      <c r="D45" t="str">
        <f>CLEAN("1009-34-38")</f>
        <v>1009-34-38</v>
      </c>
      <c r="E45" t="str">
        <f>CLEAN("305  ")</f>
        <v xml:space="preserve">305  </v>
      </c>
      <c r="F45" t="str">
        <f>CLEAN("$2,000,000 - $2,999,999  ")</f>
        <v xml:space="preserve">$2,000,000 - $2,999,999  </v>
      </c>
      <c r="G45" t="str">
        <f>CLEAN("LET")</f>
        <v>LET</v>
      </c>
      <c r="H45" t="str">
        <f>CLEAN("LET CONSTRUCTION         ")</f>
        <v xml:space="preserve">LET CONSTRUCTION         </v>
      </c>
      <c r="I45" t="str">
        <f>CLEAN("TRF OPS-PAVMT MARKING FY26         ")</f>
        <v xml:space="preserve">TRF OPS-PAVMT MARKING FY26         </v>
      </c>
      <c r="J45" t="str">
        <f>CLEAN("VAR HWY")</f>
        <v>VAR HWY</v>
      </c>
      <c r="K45" t="str">
        <f>CLEAN("NORTHEAST REGION WIDE         ")</f>
        <v xml:space="preserve">NORTHEAST REGION WIDE         </v>
      </c>
      <c r="L45" t="str">
        <f>CLEAN("EPOXY PAVEMENT MARKINGS-STH/USH    ")</f>
        <v xml:space="preserve">EPOXY PAVEMENT MARKINGS-STH/USH    </v>
      </c>
      <c r="M45" t="str">
        <f>CLEAN("LOCATIONS ON STN PER ANNUAL PLN    ")</f>
        <v xml:space="preserve">LOCATIONS ON STN PER ANNUAL PLN    </v>
      </c>
      <c r="N45">
        <v>286.60000000000002</v>
      </c>
      <c r="O45" t="str">
        <f t="shared" si="17"/>
        <v xml:space="preserve">          </v>
      </c>
      <c r="P45" t="str">
        <f>CLEAN("STATE HIGHWAY OPERATIONS PROGRAM                                                                    ")</f>
        <v xml:space="preserve">STATE HIGHWAY OPERATIONS PROGRAM                                                                    </v>
      </c>
    </row>
    <row r="46" spans="1:16" x14ac:dyDescent="0.25">
      <c r="A46" t="str">
        <f t="shared" si="18"/>
        <v>10</v>
      </c>
      <c r="B46" t="str">
        <f>CLEAN("23")</f>
        <v>23</v>
      </c>
      <c r="C46" s="1">
        <v>45955</v>
      </c>
      <c r="D46" t="str">
        <f>CLEAN("1009-38-19")</f>
        <v>1009-38-19</v>
      </c>
      <c r="E46" t="str">
        <f>CLEAN("303  ")</f>
        <v xml:space="preserve">303  </v>
      </c>
      <c r="F46" t="str">
        <f>CLEAN("$2,000,000 - $2,999,999  ")</f>
        <v xml:space="preserve">$2,000,000 - $2,999,999  </v>
      </c>
      <c r="G46" t="str">
        <f>CLEAN("JTP")</f>
        <v>JTP</v>
      </c>
      <c r="H46" t="str">
        <f>CLEAN("NONLET CONSTR/REAL ESTATE")</f>
        <v>NONLET CONSTR/REAL ESTATE</v>
      </c>
      <c r="I46" t="str">
        <f>CLEAN("EX-JT PAYMENT 10 OF 11 FY26        ")</f>
        <v xml:space="preserve">EX-JT PAYMENT 10 OF 11 FY26        </v>
      </c>
      <c r="J46" t="str">
        <f>CLEAN("USH 045")</f>
        <v>USH 045</v>
      </c>
      <c r="K46" t="str">
        <f>CLEAN("FOND DU LAC                   ")</f>
        <v xml:space="preserve">FOND DU LAC                   </v>
      </c>
      <c r="L46" t="str">
        <f>CLEAN("USH 45, CITY OF FOND DU LAC        ")</f>
        <v xml:space="preserve">USH 45, CITY OF FOND DU LAC        </v>
      </c>
      <c r="M46" t="str">
        <f>CLEAN("JURISDICTION PAYMENT 10 OF 11 CY25 ")</f>
        <v xml:space="preserve">JURISDICTION PAYMENT 10 OF 11 CY25 </v>
      </c>
      <c r="N46">
        <v>3.48</v>
      </c>
      <c r="O46" t="str">
        <f t="shared" si="17"/>
        <v xml:space="preserve">          </v>
      </c>
      <c r="P46" t="str">
        <f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47" spans="1:16" x14ac:dyDescent="0.25">
      <c r="A47" t="str">
        <f t="shared" si="18"/>
        <v>10</v>
      </c>
      <c r="B47" t="str">
        <f>CLEAN("24")</f>
        <v>24</v>
      </c>
      <c r="C47" s="1">
        <v>46198</v>
      </c>
      <c r="D47" t="str">
        <f>CLEAN("1009-41-17")</f>
        <v>1009-41-17</v>
      </c>
      <c r="E47" t="str">
        <f>CLEAN("303  ")</f>
        <v xml:space="preserve">303  </v>
      </c>
      <c r="F47" t="str">
        <f>CLEAN("$750,000 - $999,999      ")</f>
        <v xml:space="preserve">$750,000 - $999,999      </v>
      </c>
      <c r="G47" t="str">
        <f>CLEAN("MIS")</f>
        <v>MIS</v>
      </c>
      <c r="H47" t="str">
        <f>CLEAN("NONLET CONSTR/REAL ESTATE")</f>
        <v>NONLET CONSTR/REAL ESTATE</v>
      </c>
      <c r="I47" t="str">
        <f>CLEAN("EX-NOT FOR STIP                    ")</f>
        <v xml:space="preserve">EX-NOT FOR STIP                    </v>
      </c>
      <c r="J47" t="str">
        <f>CLEAN("VAR HWY")</f>
        <v>VAR HWY</v>
      </c>
      <c r="K47" t="str">
        <f>CLEAN("NORTH CENTRAL REGION WIDE     ")</f>
        <v xml:space="preserve">NORTH CENTRAL REGION WIDE     </v>
      </c>
      <c r="L47" t="str">
        <f>CLEAN("INFLATION LEVEL OF EFFORT          ")</f>
        <v xml:space="preserve">INFLATION LEVEL OF EFFORT          </v>
      </c>
      <c r="M47" t="str">
        <f>CLEAN("FY 2026                            ")</f>
        <v xml:space="preserve">FY 2026                            </v>
      </c>
      <c r="N47">
        <v>0</v>
      </c>
      <c r="O47" t="str">
        <f t="shared" si="17"/>
        <v xml:space="preserve">          </v>
      </c>
      <c r="P47" t="str">
        <f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48" spans="1:16" x14ac:dyDescent="0.25">
      <c r="A48" t="str">
        <f t="shared" si="18"/>
        <v>10</v>
      </c>
      <c r="B48" t="str">
        <f>CLEAN("24")</f>
        <v>24</v>
      </c>
      <c r="C48" s="1">
        <v>46198</v>
      </c>
      <c r="D48" t="str">
        <f>CLEAN("1009-41-39")</f>
        <v>1009-41-39</v>
      </c>
      <c r="E48" t="str">
        <f>CLEAN("303  ")</f>
        <v xml:space="preserve">303  </v>
      </c>
      <c r="F48" t="str">
        <f>CLEAN("$100,000-$249,999        ")</f>
        <v xml:space="preserve">$100,000-$249,999        </v>
      </c>
      <c r="G48" t="str">
        <f>CLEAN("MIS")</f>
        <v>MIS</v>
      </c>
      <c r="H48" t="str">
        <f>CLEAN("NONLET CONSTR/REAL ESTATE")</f>
        <v>NONLET CONSTR/REAL ESTATE</v>
      </c>
      <c r="I48" t="str">
        <f>CLEAN("EX-NOT FOR STIP                    ")</f>
        <v xml:space="preserve">EX-NOT FOR STIP                    </v>
      </c>
      <c r="J48" t="str">
        <f>CLEAN("VAR HWY")</f>
        <v>VAR HWY</v>
      </c>
      <c r="K48" t="str">
        <f>CLEAN("NORTH CENTRAL REGION WIDE     ")</f>
        <v xml:space="preserve">NORTH CENTRAL REGION WIDE     </v>
      </c>
      <c r="L48" t="str">
        <f>CLEAN("TECHNICAL SERVICES LEVEL OF EFFORT ")</f>
        <v xml:space="preserve">TECHNICAL SERVICES LEVEL OF EFFORT </v>
      </c>
      <c r="M48" t="str">
        <f>CLEAN("FY 2026                            ")</f>
        <v xml:space="preserve">FY 2026                            </v>
      </c>
      <c r="N48">
        <v>0</v>
      </c>
      <c r="O48" t="str">
        <f t="shared" si="17"/>
        <v xml:space="preserve">          </v>
      </c>
      <c r="P48" t="str">
        <f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49" spans="1:16" x14ac:dyDescent="0.25">
      <c r="A49" t="str">
        <f t="shared" si="18"/>
        <v>10</v>
      </c>
      <c r="B49" t="str">
        <f>CLEAN("24")</f>
        <v>24</v>
      </c>
      <c r="C49" s="1">
        <v>45944</v>
      </c>
      <c r="D49" t="str">
        <f>CLEAN("1009-42-83")</f>
        <v>1009-42-83</v>
      </c>
      <c r="E49" t="str">
        <f>CLEAN("305  ")</f>
        <v xml:space="preserve">305  </v>
      </c>
      <c r="F49" t="str">
        <f>CLEAN("$1,000,000 - $1,999,999  ")</f>
        <v xml:space="preserve">$1,000,000 - $1,999,999  </v>
      </c>
      <c r="G49" t="str">
        <f>CLEAN("LET")</f>
        <v>LET</v>
      </c>
      <c r="H49" t="str">
        <f>CLEAN("LET CONSTRUCTION         ")</f>
        <v xml:space="preserve">LET CONSTRUCTION         </v>
      </c>
      <c r="I49" t="str">
        <f>CLEAN("REGION WIDE/TRF OPS-PAVMT MARKING  ")</f>
        <v xml:space="preserve">REGION WIDE/TRF OPS-PAVMT MARKING  </v>
      </c>
      <c r="J49" t="str">
        <f>CLEAN("VAR HWY")</f>
        <v>VAR HWY</v>
      </c>
      <c r="K49" t="str">
        <f>CLEAN("NORTH CENTRAL REGION WIDE     ")</f>
        <v xml:space="preserve">NORTH CENTRAL REGION WIDE     </v>
      </c>
      <c r="L49" t="str">
        <f>CLEAN("NC REGION, EPOXY PAVEMENT MARKING  ")</f>
        <v xml:space="preserve">NC REGION, EPOXY PAVEMENT MARKING  </v>
      </c>
      <c r="M49" t="str">
        <f>CLEAN("LOCATIONS ON STN PER ANNUAL PLAN   ")</f>
        <v xml:space="preserve">LOCATIONS ON STN PER ANNUAL PLAN   </v>
      </c>
      <c r="N49">
        <v>0</v>
      </c>
      <c r="O49" t="str">
        <f t="shared" si="17"/>
        <v xml:space="preserve">          </v>
      </c>
      <c r="P49" t="str">
        <f>CLEAN("STATE HIGHWAY OPERATIONS PROGRAM                                                                    ")</f>
        <v xml:space="preserve">STATE HIGHWAY OPERATIONS PROGRAM                                                                    </v>
      </c>
    </row>
    <row r="50" spans="1:16" x14ac:dyDescent="0.25">
      <c r="A50" t="str">
        <f t="shared" si="18"/>
        <v>10</v>
      </c>
      <c r="B50" t="str">
        <f>CLEAN("24")</f>
        <v>24</v>
      </c>
      <c r="C50" s="1">
        <v>45909</v>
      </c>
      <c r="D50" t="str">
        <f>CLEAN("1009-43-69")</f>
        <v>1009-43-69</v>
      </c>
      <c r="E50" t="str">
        <f>CLEAN("303  ")</f>
        <v xml:space="preserve">303  </v>
      </c>
      <c r="F50" t="str">
        <f>CLEAN("$1,000,000 - $1,999,999  ")</f>
        <v xml:space="preserve">$1,000,000 - $1,999,999  </v>
      </c>
      <c r="G50" t="str">
        <f>CLEAN("LET")</f>
        <v>LET</v>
      </c>
      <c r="H50" t="str">
        <f>CLEAN("LET CONSTRUCTION         ")</f>
        <v xml:space="preserve">LET CONSTRUCTION         </v>
      </c>
      <c r="I50" t="str">
        <f>CLEAN("CONST/CULVERT                      ")</f>
        <v xml:space="preserve">CONST/CULVERT                      </v>
      </c>
      <c r="J50" t="str">
        <f>CLEAN("STH 047")</f>
        <v>STH 047</v>
      </c>
      <c r="K50" t="str">
        <f>CLEAN("MENOMINEE                     ")</f>
        <v xml:space="preserve">MENOMINEE                     </v>
      </c>
      <c r="L50" t="str">
        <f>CLEAN("MENOMINEE CO CULVERT REPLACEMENT   ")</f>
        <v xml:space="preserve">MENOMINEE CO CULVERT REPLACEMENT   </v>
      </c>
      <c r="M50" t="str">
        <f>CLEAN("STH 47 COUNTYWIDE                  ")</f>
        <v xml:space="preserve">STH 47 COUNTYWIDE                  </v>
      </c>
      <c r="N50">
        <v>0.79</v>
      </c>
      <c r="O50" t="str">
        <f t="shared" si="17"/>
        <v xml:space="preserve">          </v>
      </c>
      <c r="P50" t="str">
        <f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51" spans="1:16" x14ac:dyDescent="0.25">
      <c r="A51" t="str">
        <f t="shared" si="18"/>
        <v>10</v>
      </c>
      <c r="B51" t="str">
        <f>CLEAN("24")</f>
        <v>24</v>
      </c>
      <c r="C51" s="1">
        <v>45909</v>
      </c>
      <c r="D51" t="str">
        <f>CLEAN("1009-43-75")</f>
        <v>1009-43-75</v>
      </c>
      <c r="E51" t="str">
        <f>CLEAN("303  ")</f>
        <v xml:space="preserve">303  </v>
      </c>
      <c r="F51" t="str">
        <f>CLEAN("$750,000 - $999,999      ")</f>
        <v xml:space="preserve">$750,000 - $999,999      </v>
      </c>
      <c r="G51" t="str">
        <f>CLEAN("LET")</f>
        <v>LET</v>
      </c>
      <c r="H51" t="str">
        <f>CLEAN("LET CONSTRUCTION         ")</f>
        <v xml:space="preserve">LET CONSTRUCTION         </v>
      </c>
      <c r="I51" t="str">
        <f>CLEAN("CONST/MISC                         ")</f>
        <v xml:space="preserve">CONST/MISC                         </v>
      </c>
      <c r="J51" t="str">
        <f>CLEAN("NON HWY")</f>
        <v>NON HWY</v>
      </c>
      <c r="K51" t="str">
        <f>CLEAN("STATEWIDE                     ")</f>
        <v xml:space="preserve">STATEWIDE                     </v>
      </c>
      <c r="L51" t="str">
        <f>CLEAN("2025/2026 STATEWIDE TREE CLEARING  ")</f>
        <v xml:space="preserve">2025/2026 STATEWIDE TREE CLEARING  </v>
      </c>
      <c r="M51" t="str">
        <f>CLEAN("NC REGION VARIOUS COUNTIES         ")</f>
        <v xml:space="preserve">NC REGION VARIOUS COUNTIES         </v>
      </c>
      <c r="N51">
        <v>0</v>
      </c>
      <c r="O51" t="str">
        <f t="shared" si="17"/>
        <v xml:space="preserve">          </v>
      </c>
      <c r="P51" t="str">
        <f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52" spans="1:16" x14ac:dyDescent="0.25">
      <c r="A52" t="str">
        <f t="shared" ref="A52:B62" si="19">CLEAN("08")</f>
        <v>08</v>
      </c>
      <c r="B52" t="str">
        <f t="shared" si="19"/>
        <v>08</v>
      </c>
      <c r="C52" s="1">
        <v>46198</v>
      </c>
      <c r="D52" t="str">
        <f>CLEAN("1009-85-36")</f>
        <v>1009-85-36</v>
      </c>
      <c r="E52" t="str">
        <f t="shared" ref="E52:E62" si="20">CLEAN("207  ")</f>
        <v xml:space="preserve">207  </v>
      </c>
      <c r="F52" t="str">
        <f>CLEAN("$250,000 - $499,999      ")</f>
        <v xml:space="preserve">$250,000 - $499,999      </v>
      </c>
      <c r="G52" t="str">
        <f t="shared" ref="G52:G62" si="21">CLEAN("R/R")</f>
        <v>R/R</v>
      </c>
      <c r="H52" t="str">
        <f t="shared" ref="H52:H67" si="22">CLEAN("NONLET CONSTR/REAL ESTATE")</f>
        <v>NONLET CONSTR/REAL ESTATE</v>
      </c>
      <c r="I52" t="str">
        <f>CLEAN("RR OPS/SAFETY/OCR/SIGNALS &amp; GATES  ")</f>
        <v xml:space="preserve">RR OPS/SAFETY/OCR/SIGNALS &amp; GATES  </v>
      </c>
      <c r="J52" t="str">
        <f>CLEAN("CTH M  ")</f>
        <v xml:space="preserve">CTH M  </v>
      </c>
      <c r="K52" t="str">
        <f>CLEAN("DODGE                         ")</f>
        <v xml:space="preserve">DODGE                         </v>
      </c>
      <c r="L52" t="str">
        <f>CLEAN("T CHESTER, CTH M                   ")</f>
        <v xml:space="preserve">T CHESTER, CTH M                   </v>
      </c>
      <c r="M52" t="str">
        <f>CLEAN("WSOR X-ING 387619P                 ")</f>
        <v xml:space="preserve">WSOR X-ING 387619P                 </v>
      </c>
      <c r="N52">
        <v>0</v>
      </c>
      <c r="O52" t="str">
        <f t="shared" si="17"/>
        <v xml:space="preserve">          </v>
      </c>
      <c r="P52" t="str">
        <f t="shared" ref="P52:P62" si="23">CLEAN("SAFETY OCR - RAILROAD WARNING DEVICES                                                               ")</f>
        <v xml:space="preserve">SAFETY OCR - RAILROAD WARNING DEVICES                                                               </v>
      </c>
    </row>
    <row r="53" spans="1:16" x14ac:dyDescent="0.25">
      <c r="A53" t="str">
        <f t="shared" si="19"/>
        <v>08</v>
      </c>
      <c r="B53" t="str">
        <f t="shared" si="19"/>
        <v>08</v>
      </c>
      <c r="C53" s="1">
        <v>46198</v>
      </c>
      <c r="D53" t="str">
        <f>CLEAN("1009-86-29")</f>
        <v>1009-86-29</v>
      </c>
      <c r="E53" t="str">
        <f t="shared" si="20"/>
        <v xml:space="preserve">207  </v>
      </c>
      <c r="F53" t="str">
        <f>CLEAN("$250,000 - $499,999      ")</f>
        <v xml:space="preserve">$250,000 - $499,999      </v>
      </c>
      <c r="G53" t="str">
        <f t="shared" si="21"/>
        <v>R/R</v>
      </c>
      <c r="H53" t="str">
        <f t="shared" si="22"/>
        <v>NONLET CONSTR/REAL ESTATE</v>
      </c>
      <c r="I53" t="str">
        <f>CLEAN("RR OPS/SAFETY/OCR/SIGNALS &amp; GATES  ")</f>
        <v xml:space="preserve">RR OPS/SAFETY/OCR/SIGNALS &amp; GATES  </v>
      </c>
      <c r="J53" t="str">
        <f>CLEAN("LOC STR")</f>
        <v>LOC STR</v>
      </c>
      <c r="K53" t="str">
        <f>CLEAN("WAUKESHA                      ")</f>
        <v xml:space="preserve">WAUKESHA                      </v>
      </c>
      <c r="L53" t="str">
        <f>CLEAN("T MERTON, KEESUS RD                ")</f>
        <v xml:space="preserve">T MERTON, KEESUS RD                </v>
      </c>
      <c r="M53" t="str">
        <f>CLEAN("UP X-ING 179046L                   ")</f>
        <v xml:space="preserve">UP X-ING 179046L                   </v>
      </c>
      <c r="N53">
        <v>0</v>
      </c>
      <c r="O53" t="str">
        <f t="shared" si="17"/>
        <v xml:space="preserve">          </v>
      </c>
      <c r="P53" t="str">
        <f t="shared" si="23"/>
        <v xml:space="preserve">SAFETY OCR - RAILROAD WARNING DEVICES                                                               </v>
      </c>
    </row>
    <row r="54" spans="1:16" x14ac:dyDescent="0.25">
      <c r="A54" t="str">
        <f t="shared" si="19"/>
        <v>08</v>
      </c>
      <c r="B54" t="str">
        <f t="shared" si="19"/>
        <v>08</v>
      </c>
      <c r="C54" s="1">
        <v>46198</v>
      </c>
      <c r="D54" t="str">
        <f>CLEAN("1009-86-31")</f>
        <v>1009-86-31</v>
      </c>
      <c r="E54" t="str">
        <f t="shared" si="20"/>
        <v xml:space="preserve">207  </v>
      </c>
      <c r="F54" t="str">
        <f>CLEAN("$250,000 - $499,999      ")</f>
        <v xml:space="preserve">$250,000 - $499,999      </v>
      </c>
      <c r="G54" t="str">
        <f t="shared" si="21"/>
        <v>R/R</v>
      </c>
      <c r="H54" t="str">
        <f t="shared" si="22"/>
        <v>NONLET CONSTR/REAL ESTATE</v>
      </c>
      <c r="I54" t="str">
        <f>CLEAN("RR OPS/SAFETY/OCR/SIGNALS &amp; GATES  ")</f>
        <v xml:space="preserve">RR OPS/SAFETY/OCR/SIGNALS &amp; GATES  </v>
      </c>
      <c r="J54" t="str">
        <f>CLEAN("LOC STR")</f>
        <v>LOC STR</v>
      </c>
      <c r="K54" t="str">
        <f>CLEAN("MILWAUKEE                     ")</f>
        <v xml:space="preserve">MILWAUKEE                     </v>
      </c>
      <c r="L54" t="str">
        <f>CLEAN("V FOX POINT, BRADLEY RD            ")</f>
        <v xml:space="preserve">V FOX POINT, BRADLEY RD            </v>
      </c>
      <c r="M54" t="str">
        <f>CLEAN("UP X-ING 180106P                   ")</f>
        <v xml:space="preserve">UP X-ING 180106P                   </v>
      </c>
      <c r="N54">
        <v>0</v>
      </c>
      <c r="O54" t="str">
        <f t="shared" si="17"/>
        <v xml:space="preserve">          </v>
      </c>
      <c r="P54" t="str">
        <f t="shared" si="23"/>
        <v xml:space="preserve">SAFETY OCR - RAILROAD WARNING DEVICES                                                               </v>
      </c>
    </row>
    <row r="55" spans="1:16" x14ac:dyDescent="0.25">
      <c r="A55" t="str">
        <f t="shared" si="19"/>
        <v>08</v>
      </c>
      <c r="B55" t="str">
        <f t="shared" si="19"/>
        <v>08</v>
      </c>
      <c r="C55" s="1">
        <v>46198</v>
      </c>
      <c r="D55" t="str">
        <f>CLEAN("1009-86-33")</f>
        <v>1009-86-33</v>
      </c>
      <c r="E55" t="str">
        <f t="shared" si="20"/>
        <v xml:space="preserve">207  </v>
      </c>
      <c r="F55" t="str">
        <f>CLEAN("$1,000,000 - $1,999,999  ")</f>
        <v xml:space="preserve">$1,000,000 - $1,999,999  </v>
      </c>
      <c r="G55" t="str">
        <f t="shared" si="21"/>
        <v>R/R</v>
      </c>
      <c r="H55" t="str">
        <f t="shared" si="22"/>
        <v>NONLET CONSTR/REAL ESTATE</v>
      </c>
      <c r="I55" t="str">
        <f>CLEAN("RR OPS/SAFETY/OCR/SIGNAL &amp; GATES   ")</f>
        <v xml:space="preserve">RR OPS/SAFETY/OCR/SIGNAL &amp; GATES   </v>
      </c>
      <c r="J55" t="str">
        <f>CLEAN("LOC STR")</f>
        <v>LOC STR</v>
      </c>
      <c r="K55" t="str">
        <f>CLEAN("WAUKESHA                      ")</f>
        <v xml:space="preserve">WAUKESHA                      </v>
      </c>
      <c r="L55" t="str">
        <f>CLEAN("C. of Waukesha, Grand Avenue       ")</f>
        <v xml:space="preserve">C. of Waukesha, Grand Avenue       </v>
      </c>
      <c r="M55" t="str">
        <f>CLEAN("WCL XING                           ")</f>
        <v xml:space="preserve">WCL XING                           </v>
      </c>
      <c r="N55">
        <v>0</v>
      </c>
      <c r="O55" t="str">
        <f t="shared" si="17"/>
        <v xml:space="preserve">          </v>
      </c>
      <c r="P55" t="str">
        <f t="shared" si="23"/>
        <v xml:space="preserve">SAFETY OCR - RAILROAD WARNING DEVICES                                                               </v>
      </c>
    </row>
    <row r="56" spans="1:16" x14ac:dyDescent="0.25">
      <c r="A56" t="str">
        <f t="shared" si="19"/>
        <v>08</v>
      </c>
      <c r="B56" t="str">
        <f t="shared" si="19"/>
        <v>08</v>
      </c>
      <c r="C56" s="1">
        <v>46198</v>
      </c>
      <c r="D56" t="str">
        <f>CLEAN("1009-86-35")</f>
        <v>1009-86-35</v>
      </c>
      <c r="E56" t="str">
        <f t="shared" si="20"/>
        <v xml:space="preserve">207  </v>
      </c>
      <c r="F56" t="str">
        <f t="shared" ref="F56:F62" si="24">CLEAN("$250,000 - $499,999      ")</f>
        <v xml:space="preserve">$250,000 - $499,999      </v>
      </c>
      <c r="G56" t="str">
        <f t="shared" si="21"/>
        <v>R/R</v>
      </c>
      <c r="H56" t="str">
        <f t="shared" si="22"/>
        <v>NONLET CONSTR/REAL ESTATE</v>
      </c>
      <c r="I56" t="str">
        <f>CLEAN("RR OPS/SAFETY/OCR/SIGNAL &amp; GATES   ")</f>
        <v xml:space="preserve">RR OPS/SAFETY/OCR/SIGNAL &amp; GATES   </v>
      </c>
      <c r="J56" t="str">
        <f>CLEAN("LOC STR")</f>
        <v>LOC STR</v>
      </c>
      <c r="K56" t="str">
        <f>CLEAN("WAUKESHA                      ")</f>
        <v xml:space="preserve">WAUKESHA                      </v>
      </c>
      <c r="L56" t="str">
        <f>CLEAN("C.of Waukesha, Cutler Street       ")</f>
        <v xml:space="preserve">C.of Waukesha, Cutler Street       </v>
      </c>
      <c r="M56" t="str">
        <f>CLEAN("WCL XING 689914E                   ")</f>
        <v xml:space="preserve">WCL XING 689914E                   </v>
      </c>
      <c r="N56">
        <v>2.9000000000000001E-2</v>
      </c>
      <c r="O56" t="str">
        <f t="shared" si="17"/>
        <v xml:space="preserve">          </v>
      </c>
      <c r="P56" t="str">
        <f t="shared" si="23"/>
        <v xml:space="preserve">SAFETY OCR - RAILROAD WARNING DEVICES                                                               </v>
      </c>
    </row>
    <row r="57" spans="1:16" x14ac:dyDescent="0.25">
      <c r="A57" t="str">
        <f t="shared" si="19"/>
        <v>08</v>
      </c>
      <c r="B57" t="str">
        <f t="shared" si="19"/>
        <v>08</v>
      </c>
      <c r="C57" s="1">
        <v>46198</v>
      </c>
      <c r="D57" t="str">
        <f>CLEAN("1009-87-12")</f>
        <v>1009-87-12</v>
      </c>
      <c r="E57" t="str">
        <f t="shared" si="20"/>
        <v xml:space="preserve">207  </v>
      </c>
      <c r="F57" t="str">
        <f t="shared" si="24"/>
        <v xml:space="preserve">$250,000 - $499,999      </v>
      </c>
      <c r="G57" t="str">
        <f t="shared" si="21"/>
        <v>R/R</v>
      </c>
      <c r="H57" t="str">
        <f t="shared" si="22"/>
        <v>NONLET CONSTR/REAL ESTATE</v>
      </c>
      <c r="I57" t="str">
        <f t="shared" ref="I57:I62" si="25">CLEAN("RR OPS/SAFETY/OCR/SIGNALS &amp; GATES  ")</f>
        <v xml:space="preserve">RR OPS/SAFETY/OCR/SIGNALS &amp; GATES  </v>
      </c>
      <c r="J57" t="str">
        <f>CLEAN("CTH KK ")</f>
        <v xml:space="preserve">CTH KK </v>
      </c>
      <c r="K57" t="str">
        <f>CLEAN("FOND DU LAC                   ")</f>
        <v xml:space="preserve">FOND DU LAC                   </v>
      </c>
      <c r="L57" t="str">
        <f>CLEAN("T OF METOMEN, CTH KK               ")</f>
        <v xml:space="preserve">T OF METOMEN, CTH KK               </v>
      </c>
      <c r="M57" t="str">
        <f>CLEAN("WSOR RR X-ING 387582C              ")</f>
        <v xml:space="preserve">WSOR RR X-ING 387582C              </v>
      </c>
      <c r="N57">
        <v>0</v>
      </c>
      <c r="O57" t="str">
        <f t="shared" si="17"/>
        <v xml:space="preserve">          </v>
      </c>
      <c r="P57" t="str">
        <f t="shared" si="23"/>
        <v xml:space="preserve">SAFETY OCR - RAILROAD WARNING DEVICES                                                               </v>
      </c>
    </row>
    <row r="58" spans="1:16" x14ac:dyDescent="0.25">
      <c r="A58" t="str">
        <f t="shared" si="19"/>
        <v>08</v>
      </c>
      <c r="B58" t="str">
        <f t="shared" si="19"/>
        <v>08</v>
      </c>
      <c r="C58" s="1">
        <v>46198</v>
      </c>
      <c r="D58" t="str">
        <f>CLEAN("1009-87-13")</f>
        <v>1009-87-13</v>
      </c>
      <c r="E58" t="str">
        <f t="shared" si="20"/>
        <v xml:space="preserve">207  </v>
      </c>
      <c r="F58" t="str">
        <f t="shared" si="24"/>
        <v xml:space="preserve">$250,000 - $499,999      </v>
      </c>
      <c r="G58" t="str">
        <f t="shared" si="21"/>
        <v>R/R</v>
      </c>
      <c r="H58" t="str">
        <f t="shared" si="22"/>
        <v>NONLET CONSTR/REAL ESTATE</v>
      </c>
      <c r="I58" t="str">
        <f t="shared" si="25"/>
        <v xml:space="preserve">RR OPS/SAFETY/OCR/SIGNALS &amp; GATES  </v>
      </c>
      <c r="J58" t="str">
        <f>CLEAN("LOC STR")</f>
        <v>LOC STR</v>
      </c>
      <c r="K58" t="str">
        <f>CLEAN("FOND DU LAC                   ")</f>
        <v xml:space="preserve">FOND DU LAC                   </v>
      </c>
      <c r="L58" t="str">
        <f>CLEAN("T OF RIPON, DOUGLAS RD             ")</f>
        <v xml:space="preserve">T OF RIPON, DOUGLAS RD             </v>
      </c>
      <c r="M58" t="str">
        <f>CLEAN("WSOR RR X-ING 387580N              ")</f>
        <v xml:space="preserve">WSOR RR X-ING 387580N              </v>
      </c>
      <c r="N58">
        <v>0</v>
      </c>
      <c r="O58" t="str">
        <f t="shared" si="17"/>
        <v xml:space="preserve">          </v>
      </c>
      <c r="P58" t="str">
        <f t="shared" si="23"/>
        <v xml:space="preserve">SAFETY OCR - RAILROAD WARNING DEVICES                                                               </v>
      </c>
    </row>
    <row r="59" spans="1:16" x14ac:dyDescent="0.25">
      <c r="A59" t="str">
        <f t="shared" si="19"/>
        <v>08</v>
      </c>
      <c r="B59" t="str">
        <f t="shared" si="19"/>
        <v>08</v>
      </c>
      <c r="C59" s="1">
        <v>46198</v>
      </c>
      <c r="D59" t="str">
        <f>CLEAN("1009-87-14")</f>
        <v>1009-87-14</v>
      </c>
      <c r="E59" t="str">
        <f t="shared" si="20"/>
        <v xml:space="preserve">207  </v>
      </c>
      <c r="F59" t="str">
        <f t="shared" si="24"/>
        <v xml:space="preserve">$250,000 - $499,999      </v>
      </c>
      <c r="G59" t="str">
        <f t="shared" si="21"/>
        <v>R/R</v>
      </c>
      <c r="H59" t="str">
        <f t="shared" si="22"/>
        <v>NONLET CONSTR/REAL ESTATE</v>
      </c>
      <c r="I59" t="str">
        <f t="shared" si="25"/>
        <v xml:space="preserve">RR OPS/SAFETY/OCR/SIGNALS &amp; GATES  </v>
      </c>
      <c r="J59" t="str">
        <f>CLEAN("LOC STR")</f>
        <v>LOC STR</v>
      </c>
      <c r="K59" t="str">
        <f>CLEAN("WINNEBAGO                     ")</f>
        <v xml:space="preserve">WINNEBAGO                     </v>
      </c>
      <c r="L59" t="str">
        <f>CLEAN("V HARRISON, BRIGHTON BEACH RD/FIRE ")</f>
        <v xml:space="preserve">V HARRISON, BRIGHTON BEACH RD/FIRE </v>
      </c>
      <c r="M59" t="str">
        <f>CLEAN("WCL X-ING 386659J                  ")</f>
        <v xml:space="preserve">WCL X-ING 386659J                  </v>
      </c>
      <c r="N59">
        <v>0</v>
      </c>
      <c r="O59" t="str">
        <f t="shared" si="17"/>
        <v xml:space="preserve">          </v>
      </c>
      <c r="P59" t="str">
        <f t="shared" si="23"/>
        <v xml:space="preserve">SAFETY OCR - RAILROAD WARNING DEVICES                                                               </v>
      </c>
    </row>
    <row r="60" spans="1:16" x14ac:dyDescent="0.25">
      <c r="A60" t="str">
        <f t="shared" si="19"/>
        <v>08</v>
      </c>
      <c r="B60" t="str">
        <f t="shared" si="19"/>
        <v>08</v>
      </c>
      <c r="C60" s="1">
        <v>46198</v>
      </c>
      <c r="D60" t="str">
        <f>CLEAN("1009-89-31")</f>
        <v>1009-89-31</v>
      </c>
      <c r="E60" t="str">
        <f t="shared" si="20"/>
        <v xml:space="preserve">207  </v>
      </c>
      <c r="F60" t="str">
        <f t="shared" si="24"/>
        <v xml:space="preserve">$250,000 - $499,999      </v>
      </c>
      <c r="G60" t="str">
        <f t="shared" si="21"/>
        <v>R/R</v>
      </c>
      <c r="H60" t="str">
        <f t="shared" si="22"/>
        <v>NONLET CONSTR/REAL ESTATE</v>
      </c>
      <c r="I60" t="str">
        <f t="shared" si="25"/>
        <v xml:space="preserve">RR OPS/SAFETY/OCR/SIGNALS &amp; GATES  </v>
      </c>
      <c r="J60" t="str">
        <f>CLEAN("CTH P  ")</f>
        <v xml:space="preserve">CTH P  </v>
      </c>
      <c r="K60" t="str">
        <f>CLEAN("JACKSON                       ")</f>
        <v xml:space="preserve">JACKSON                       </v>
      </c>
      <c r="L60" t="str">
        <f>CLEAN("V TAYLOR, CTH P (BRIDGE ST)        ")</f>
        <v xml:space="preserve">V TAYLOR, CTH P (BRIDGE ST)        </v>
      </c>
      <c r="M60" t="str">
        <f>CLEAN("WCL RR X-ING 281759V               ")</f>
        <v xml:space="preserve">WCL RR X-ING 281759V               </v>
      </c>
      <c r="N60">
        <v>0</v>
      </c>
      <c r="O60" t="str">
        <f t="shared" si="17"/>
        <v xml:space="preserve">          </v>
      </c>
      <c r="P60" t="str">
        <f t="shared" si="23"/>
        <v xml:space="preserve">SAFETY OCR - RAILROAD WARNING DEVICES                                                               </v>
      </c>
    </row>
    <row r="61" spans="1:16" x14ac:dyDescent="0.25">
      <c r="A61" t="str">
        <f t="shared" si="19"/>
        <v>08</v>
      </c>
      <c r="B61" t="str">
        <f t="shared" si="19"/>
        <v>08</v>
      </c>
      <c r="C61" s="1">
        <v>46198</v>
      </c>
      <c r="D61" t="str">
        <f>CLEAN("1009-89-33")</f>
        <v>1009-89-33</v>
      </c>
      <c r="E61" t="str">
        <f t="shared" si="20"/>
        <v xml:space="preserve">207  </v>
      </c>
      <c r="F61" t="str">
        <f t="shared" si="24"/>
        <v xml:space="preserve">$250,000 - $499,999      </v>
      </c>
      <c r="G61" t="str">
        <f t="shared" si="21"/>
        <v>R/R</v>
      </c>
      <c r="H61" t="str">
        <f t="shared" si="22"/>
        <v>NONLET CONSTR/REAL ESTATE</v>
      </c>
      <c r="I61" t="str">
        <f t="shared" si="25"/>
        <v xml:space="preserve">RR OPS/SAFETY/OCR/SIGNALS &amp; GATES  </v>
      </c>
      <c r="J61" t="str">
        <f>CLEAN("LOC STR")</f>
        <v>LOC STR</v>
      </c>
      <c r="K61" t="str">
        <f>CLEAN("JACKSON                       ")</f>
        <v xml:space="preserve">JACKSON                       </v>
      </c>
      <c r="L61" t="str">
        <f>CLEAN("BLACK RIVER FALLS, LEESON/BAUER RD ")</f>
        <v xml:space="preserve">BLACK RIVER FALLS, LEESON/BAUER RD </v>
      </c>
      <c r="M61" t="str">
        <f>CLEAN("UP RR X-ING 184042U                ")</f>
        <v xml:space="preserve">UP RR X-ING 184042U                </v>
      </c>
      <c r="N61">
        <v>0</v>
      </c>
      <c r="O61" t="str">
        <f t="shared" si="17"/>
        <v xml:space="preserve">          </v>
      </c>
      <c r="P61" t="str">
        <f t="shared" si="23"/>
        <v xml:space="preserve">SAFETY OCR - RAILROAD WARNING DEVICES                                                               </v>
      </c>
    </row>
    <row r="62" spans="1:16" x14ac:dyDescent="0.25">
      <c r="A62" t="str">
        <f t="shared" si="19"/>
        <v>08</v>
      </c>
      <c r="B62" t="str">
        <f t="shared" si="19"/>
        <v>08</v>
      </c>
      <c r="C62" s="1">
        <v>46198</v>
      </c>
      <c r="D62" t="str">
        <f>CLEAN("1009-89-35")</f>
        <v>1009-89-35</v>
      </c>
      <c r="E62" t="str">
        <f t="shared" si="20"/>
        <v xml:space="preserve">207  </v>
      </c>
      <c r="F62" t="str">
        <f t="shared" si="24"/>
        <v xml:space="preserve">$250,000 - $499,999      </v>
      </c>
      <c r="G62" t="str">
        <f t="shared" si="21"/>
        <v>R/R</v>
      </c>
      <c r="H62" t="str">
        <f t="shared" si="22"/>
        <v>NONLET CONSTR/REAL ESTATE</v>
      </c>
      <c r="I62" t="str">
        <f t="shared" si="25"/>
        <v xml:space="preserve">RR OPS/SAFETY/OCR/SIGNALS &amp; GATES  </v>
      </c>
      <c r="J62" t="str">
        <f>CLEAN("CTH N  ")</f>
        <v xml:space="preserve">CTH N  </v>
      </c>
      <c r="K62" t="str">
        <f>CLEAN("CHIPPEWA                      ")</f>
        <v xml:space="preserve">CHIPPEWA                      </v>
      </c>
      <c r="L62" t="str">
        <f>CLEAN("T HOWARD, CTH N                    ")</f>
        <v xml:space="preserve">T HOWARD, CTH N                    </v>
      </c>
      <c r="M62" t="str">
        <f>CLEAN("WCL RR X-ING 692947V               ")</f>
        <v xml:space="preserve">WCL RR X-ING 692947V               </v>
      </c>
      <c r="N62">
        <v>0</v>
      </c>
      <c r="O62" t="str">
        <f t="shared" si="17"/>
        <v xml:space="preserve">          </v>
      </c>
      <c r="P62" t="str">
        <f t="shared" si="23"/>
        <v xml:space="preserve">SAFETY OCR - RAILROAD WARNING DEVICES                                                               </v>
      </c>
    </row>
    <row r="63" spans="1:16" x14ac:dyDescent="0.25">
      <c r="A63" t="str">
        <f t="shared" ref="A63:A126" si="26">CLEAN("10")</f>
        <v>10</v>
      </c>
      <c r="B63" t="str">
        <f t="shared" ref="B63:B70" si="27">CLEAN("21")</f>
        <v>21</v>
      </c>
      <c r="C63" s="1">
        <v>45894</v>
      </c>
      <c r="D63" t="str">
        <f>CLEAN("1010-10-42")</f>
        <v>1010-10-42</v>
      </c>
      <c r="E63" t="str">
        <f>CLEAN("302  ")</f>
        <v xml:space="preserve">302  </v>
      </c>
      <c r="F63" t="str">
        <f>CLEAN("$0 - $99,999             ")</f>
        <v xml:space="preserve">$0 - $99,999             </v>
      </c>
      <c r="G63" t="str">
        <f>CLEAN("UTL")</f>
        <v>UTL</v>
      </c>
      <c r="H63" t="str">
        <f t="shared" si="22"/>
        <v>NONLET CONSTR/REAL ESTATE</v>
      </c>
      <c r="I63" t="str">
        <f>CLEAN("UTL/CONST 1010-10-82/BRRPLE        ")</f>
        <v xml:space="preserve">UTL/CONST 1010-10-82/BRRPLE        </v>
      </c>
      <c r="J63" t="str">
        <f t="shared" ref="J63:J68" si="28">CLEAN("IH  039")</f>
        <v>IH  039</v>
      </c>
      <c r="K63" t="str">
        <f>CLEAN("COLUMBIA                      ")</f>
        <v xml:space="preserve">COLUMBIA                      </v>
      </c>
      <c r="L63" t="str">
        <f>CLEAN("MADISON - PORTAGE                  ")</f>
        <v xml:space="preserve">MADISON - PORTAGE                  </v>
      </c>
      <c r="M63" t="str">
        <f>CLEAN("WISCONSIN RIVER BRIDGES B-11-22/23 ")</f>
        <v xml:space="preserve">WISCONSIN RIVER BRIDGES B-11-22/23 </v>
      </c>
      <c r="N63">
        <v>1.2</v>
      </c>
      <c r="O63" t="str">
        <f t="shared" si="17"/>
        <v xml:space="preserve">          </v>
      </c>
      <c r="P63" t="str">
        <f>CLEAN("MAJORS                                                                                              ")</f>
        <v xml:space="preserve">MAJORS                                                                                              </v>
      </c>
    </row>
    <row r="64" spans="1:16" x14ac:dyDescent="0.25">
      <c r="A64" t="str">
        <f t="shared" si="26"/>
        <v>10</v>
      </c>
      <c r="B64" t="str">
        <f t="shared" si="27"/>
        <v>21</v>
      </c>
      <c r="C64" s="1">
        <v>45894</v>
      </c>
      <c r="D64" t="str">
        <f>CLEAN("1010-10-92")</f>
        <v>1010-10-92</v>
      </c>
      <c r="E64" t="str">
        <f>CLEAN("302  ")</f>
        <v xml:space="preserve">302  </v>
      </c>
      <c r="F64" t="str">
        <f>CLEAN("$0 - $99,999             ")</f>
        <v xml:space="preserve">$0 - $99,999             </v>
      </c>
      <c r="G64" t="str">
        <f>CLEAN("MIS")</f>
        <v>MIS</v>
      </c>
      <c r="H64" t="str">
        <f t="shared" si="22"/>
        <v>NONLET CONSTR/REAL ESTATE</v>
      </c>
      <c r="I64" t="str">
        <f>CLEAN("TRF MIT/ 1010-10-82/ MISC          ")</f>
        <v xml:space="preserve">TRF MIT/ 1010-10-82/ MISC          </v>
      </c>
      <c r="J64" t="str">
        <f t="shared" si="28"/>
        <v>IH  039</v>
      </c>
      <c r="K64" t="str">
        <f>CLEAN("COLUMBIA                      ")</f>
        <v xml:space="preserve">COLUMBIA                      </v>
      </c>
      <c r="L64" t="str">
        <f>CLEAN("WISCONSIN RIVER BRIDGES            ")</f>
        <v xml:space="preserve">WISCONSIN RIVER BRIDGES            </v>
      </c>
      <c r="M64" t="str">
        <f>CLEAN("MADISON - PORTAGE                  ")</f>
        <v xml:space="preserve">MADISON - PORTAGE                  </v>
      </c>
      <c r="N64">
        <v>1.2</v>
      </c>
      <c r="O64" t="str">
        <f t="shared" si="17"/>
        <v xml:space="preserve">          </v>
      </c>
      <c r="P64" t="str">
        <f>CLEAN("MAJORS                                                                                              ")</f>
        <v xml:space="preserve">MAJORS                                                                                              </v>
      </c>
    </row>
    <row r="65" spans="1:16" x14ac:dyDescent="0.25">
      <c r="A65" t="str">
        <f t="shared" si="26"/>
        <v>10</v>
      </c>
      <c r="B65" t="str">
        <f t="shared" si="27"/>
        <v>21</v>
      </c>
      <c r="C65" s="1">
        <v>46106</v>
      </c>
      <c r="D65" t="str">
        <f>CLEAN("1010-10-93")</f>
        <v>1010-10-93</v>
      </c>
      <c r="E65" t="str">
        <f>CLEAN("302  ")</f>
        <v xml:space="preserve">302  </v>
      </c>
      <c r="F65" t="str">
        <f>CLEAN("$250,000 - $499,999      ")</f>
        <v xml:space="preserve">$250,000 - $499,999      </v>
      </c>
      <c r="G65" t="str">
        <f>CLEAN("MIS")</f>
        <v>MIS</v>
      </c>
      <c r="H65" t="str">
        <f t="shared" si="22"/>
        <v>NONLET CONSTR/REAL ESTATE</v>
      </c>
      <c r="I65" t="str">
        <f>CLEAN("SERVICE PATROL/ 1010-10-82/ MISC   ")</f>
        <v xml:space="preserve">SERVICE PATROL/ 1010-10-82/ MISC   </v>
      </c>
      <c r="J65" t="str">
        <f t="shared" si="28"/>
        <v>IH  039</v>
      </c>
      <c r="K65" t="str">
        <f>CLEAN("COLUMBIA                      ")</f>
        <v xml:space="preserve">COLUMBIA                      </v>
      </c>
      <c r="L65" t="str">
        <f>CLEAN("MADISON - PORTAGE                  ")</f>
        <v xml:space="preserve">MADISON - PORTAGE                  </v>
      </c>
      <c r="M65" t="str">
        <f>CLEAN("WISCONSIN RIVER BRIDGES            ")</f>
        <v xml:space="preserve">WISCONSIN RIVER BRIDGES            </v>
      </c>
      <c r="N65">
        <v>1.2</v>
      </c>
      <c r="O65" t="str">
        <f t="shared" si="17"/>
        <v xml:space="preserve">          </v>
      </c>
      <c r="P65" t="str">
        <f>CLEAN("MAJORS                                                                                              ")</f>
        <v xml:space="preserve">MAJORS                                                                                              </v>
      </c>
    </row>
    <row r="66" spans="1:16" x14ac:dyDescent="0.25">
      <c r="A66" t="str">
        <f t="shared" si="26"/>
        <v>10</v>
      </c>
      <c r="B66" t="str">
        <f t="shared" si="27"/>
        <v>21</v>
      </c>
      <c r="C66" s="1">
        <v>45894</v>
      </c>
      <c r="D66" t="str">
        <f>CLEAN("1010-10-96")</f>
        <v>1010-10-96</v>
      </c>
      <c r="E66" t="str">
        <f>CLEAN("302  ")</f>
        <v xml:space="preserve">302  </v>
      </c>
      <c r="F66" t="str">
        <f>CLEAN("$100,000-$249,999        ")</f>
        <v xml:space="preserve">$100,000-$249,999        </v>
      </c>
      <c r="G66" t="str">
        <f>CLEAN("SFA")</f>
        <v>SFA</v>
      </c>
      <c r="H66" t="str">
        <f t="shared" si="22"/>
        <v>NONLET CONSTR/REAL ESTATE</v>
      </c>
      <c r="I66" t="str">
        <f>CLEAN("TRF MIT/ 1010-10-82/ MISC          ")</f>
        <v xml:space="preserve">TRF MIT/ 1010-10-82/ MISC          </v>
      </c>
      <c r="J66" t="str">
        <f t="shared" si="28"/>
        <v>IH  039</v>
      </c>
      <c r="K66" t="str">
        <f>CLEAN("COLUMBIA                      ")</f>
        <v xml:space="preserve">COLUMBIA                      </v>
      </c>
      <c r="L66" t="str">
        <f>CLEAN("WISCONSIN RIVER BRIDGES            ")</f>
        <v xml:space="preserve">WISCONSIN RIVER BRIDGES            </v>
      </c>
      <c r="M66" t="str">
        <f>CLEAN("MADISON - PORTAGE                  ")</f>
        <v xml:space="preserve">MADISON - PORTAGE                  </v>
      </c>
      <c r="N66">
        <v>1.2</v>
      </c>
      <c r="O66" t="str">
        <f t="shared" ref="O66:O79" si="29">CLEAN("          ")</f>
        <v xml:space="preserve">          </v>
      </c>
      <c r="P66" t="str">
        <f>CLEAN("MAJORS                                                                                              ")</f>
        <v xml:space="preserve">MAJORS                                                                                              </v>
      </c>
    </row>
    <row r="67" spans="1:16" x14ac:dyDescent="0.25">
      <c r="A67" t="str">
        <f t="shared" si="26"/>
        <v>10</v>
      </c>
      <c r="B67" t="str">
        <f t="shared" si="27"/>
        <v>21</v>
      </c>
      <c r="C67" s="1">
        <v>46228</v>
      </c>
      <c r="D67" t="str">
        <f>CLEAN("1010-10-97")</f>
        <v>1010-10-97</v>
      </c>
      <c r="E67" t="str">
        <f>CLEAN("302  ")</f>
        <v xml:space="preserve">302  </v>
      </c>
      <c r="F67" t="str">
        <f>CLEAN("$100,000-$249,999        ")</f>
        <v xml:space="preserve">$100,000-$249,999        </v>
      </c>
      <c r="G67" t="str">
        <f>CLEAN("SFA")</f>
        <v>SFA</v>
      </c>
      <c r="H67" t="str">
        <f t="shared" si="22"/>
        <v>NONLET CONSTR/REAL ESTATE</v>
      </c>
      <c r="I67" t="str">
        <f>CLEAN("TRF MIT/ 1010-10-82/ MISC          ")</f>
        <v xml:space="preserve">TRF MIT/ 1010-10-82/ MISC          </v>
      </c>
      <c r="J67" t="str">
        <f t="shared" si="28"/>
        <v>IH  039</v>
      </c>
      <c r="K67" t="str">
        <f>CLEAN("COLUMBIA                      ")</f>
        <v xml:space="preserve">COLUMBIA                      </v>
      </c>
      <c r="L67" t="str">
        <f>CLEAN("WISCONSIN RIVER BRIDGES            ")</f>
        <v xml:space="preserve">WISCONSIN RIVER BRIDGES            </v>
      </c>
      <c r="M67" t="str">
        <f>CLEAN("MADISON - PORTAGE                  ")</f>
        <v xml:space="preserve">MADISON - PORTAGE                  </v>
      </c>
      <c r="N67">
        <v>1.2</v>
      </c>
      <c r="O67" t="str">
        <f t="shared" si="29"/>
        <v xml:space="preserve">          </v>
      </c>
      <c r="P67" t="str">
        <f>CLEAN("MAJORS                                                                                              ")</f>
        <v xml:space="preserve">MAJORS                                                                                              </v>
      </c>
    </row>
    <row r="68" spans="1:16" x14ac:dyDescent="0.25">
      <c r="A68" t="str">
        <f t="shared" si="26"/>
        <v>10</v>
      </c>
      <c r="B68" t="str">
        <f t="shared" si="27"/>
        <v>21</v>
      </c>
      <c r="C68" s="1">
        <v>45944</v>
      </c>
      <c r="D68" t="str">
        <f>CLEAN("1011-01-70")</f>
        <v>1011-01-70</v>
      </c>
      <c r="E68" t="str">
        <f t="shared" ref="E68:E84" si="30">CLEAN("303  ")</f>
        <v xml:space="preserve">303  </v>
      </c>
      <c r="F68" t="str">
        <f>CLEAN("$9,000,000 - $9,999,999  ")</f>
        <v xml:space="preserve">$9,000,000 - $9,999,999  </v>
      </c>
      <c r="G68" t="str">
        <f>CLEAN("LET")</f>
        <v>LET</v>
      </c>
      <c r="H68" t="str">
        <f>CLEAN("LET CONSTRUCTION         ")</f>
        <v xml:space="preserve">LET CONSTRUCTION         </v>
      </c>
      <c r="I68" t="str">
        <f>CLEAN("CONST/OVERLAY BOTH RDWYS/RSRF30    ")</f>
        <v xml:space="preserve">CONST/OVERLAY BOTH RDWYS/RSRF30    </v>
      </c>
      <c r="J68" t="str">
        <f t="shared" si="28"/>
        <v>IH  039</v>
      </c>
      <c r="K68" t="str">
        <f>CLEAN("DANE                          ")</f>
        <v xml:space="preserve">DANE                          </v>
      </c>
      <c r="L68" t="str">
        <f>CLEAN("MADISON - PORTAGE                  ")</f>
        <v xml:space="preserve">MADISON - PORTAGE                  </v>
      </c>
      <c r="M68" t="str">
        <f>CLEAN(".55 MI S CTH V TO NORTH COUNTY LINE")</f>
        <v>.55 MI S CTH V TO NORTH COUNTY LINE</v>
      </c>
      <c r="N68">
        <v>4.218</v>
      </c>
      <c r="O68" t="str">
        <f t="shared" si="29"/>
        <v xml:space="preserve">          </v>
      </c>
      <c r="P68" t="str">
        <f>CLEAN("BACKBONE                                                                                            ")</f>
        <v xml:space="preserve">BACKBONE                                                                                            </v>
      </c>
    </row>
    <row r="69" spans="1:16" x14ac:dyDescent="0.25">
      <c r="A69" t="str">
        <f t="shared" si="26"/>
        <v>10</v>
      </c>
      <c r="B69" t="str">
        <f t="shared" si="27"/>
        <v>21</v>
      </c>
      <c r="C69" s="1">
        <v>45894</v>
      </c>
      <c r="D69" t="str">
        <f>CLEAN("1014-00-95")</f>
        <v>1014-00-95</v>
      </c>
      <c r="E69" t="str">
        <f t="shared" si="30"/>
        <v xml:space="preserve">303  </v>
      </c>
      <c r="F69" t="str">
        <f>CLEAN("$100,000-$249,999        ")</f>
        <v xml:space="preserve">$100,000-$249,999        </v>
      </c>
      <c r="G69" t="str">
        <f>CLEAN("SFA")</f>
        <v>SFA</v>
      </c>
      <c r="H69" t="str">
        <f>CLEAN("NONLET CONSTR/REAL ESTATE")</f>
        <v>NONLET CONSTR/REAL ESTATE</v>
      </c>
      <c r="I69" t="str">
        <f>CLEAN("TRF MIT 1014-00-75/ MISC           ")</f>
        <v xml:space="preserve">TRF MIT 1014-00-75/ MISC           </v>
      </c>
      <c r="J69" t="str">
        <f>CLEAN("IH  090")</f>
        <v>IH  090</v>
      </c>
      <c r="K69" t="str">
        <f>CLEAN("SAUK                          ")</f>
        <v xml:space="preserve">SAUK                          </v>
      </c>
      <c r="L69" t="str">
        <f>CLEAN("USH 12 TO STH 23                   ")</f>
        <v xml:space="preserve">USH 12 TO STH 23                   </v>
      </c>
      <c r="M69" t="str">
        <f>CLEAN("MAUSTON - WISCONSIN DELLS          ")</f>
        <v xml:space="preserve">MAUSTON - WISCONSIN DELLS          </v>
      </c>
      <c r="N69">
        <v>4.26</v>
      </c>
      <c r="O69" t="str">
        <f t="shared" si="29"/>
        <v xml:space="preserve">          </v>
      </c>
      <c r="P69" t="str">
        <f>CLEAN("BACKBONE                                                                                            ")</f>
        <v xml:space="preserve">BACKBONE                                                                                            </v>
      </c>
    </row>
    <row r="70" spans="1:16" x14ac:dyDescent="0.25">
      <c r="A70" t="str">
        <f t="shared" si="26"/>
        <v>10</v>
      </c>
      <c r="B70" t="str">
        <f t="shared" si="27"/>
        <v>21</v>
      </c>
      <c r="C70" s="1">
        <v>46091</v>
      </c>
      <c r="D70" t="str">
        <f>CLEAN("1016-05-67")</f>
        <v>1016-05-67</v>
      </c>
      <c r="E70" t="str">
        <f t="shared" si="30"/>
        <v xml:space="preserve">303  </v>
      </c>
      <c r="F70" t="str">
        <f>CLEAN("$750,000 - $999,999      ")</f>
        <v xml:space="preserve">$750,000 - $999,999      </v>
      </c>
      <c r="G70" t="str">
        <f>CLEAN("LET")</f>
        <v>LET</v>
      </c>
      <c r="H70" t="str">
        <f>CLEAN("LET CONSTRUCTION         ")</f>
        <v xml:space="preserve">LET CONSTRUCTION         </v>
      </c>
      <c r="I70" t="str">
        <f>CLEAN("CONST/CONCRETE DECK O'LAYS/BRRHB   ")</f>
        <v xml:space="preserve">CONST/CONCRETE DECK O'LAYS/BRRHB   </v>
      </c>
      <c r="J70" t="str">
        <f>CLEAN("IH  090")</f>
        <v>IH  090</v>
      </c>
      <c r="K70" t="str">
        <f>CLEAN("JUNEAU                        ")</f>
        <v xml:space="preserve">JUNEAU                        </v>
      </c>
      <c r="L70" t="str">
        <f>CLEAN("MAUSTON - LYNDON STATION           ")</f>
        <v xml:space="preserve">MAUSTON - LYNDON STATION           </v>
      </c>
      <c r="M70" t="str">
        <f>CLEAN("19TH AVENUE BRDGS B-29-27 &amp; B-29-28")</f>
        <v>19TH AVENUE BRDGS B-29-27 &amp; B-29-28</v>
      </c>
      <c r="N70">
        <v>1.2999999999999999E-2</v>
      </c>
      <c r="O70" t="str">
        <f t="shared" si="29"/>
        <v xml:space="preserve">          </v>
      </c>
      <c r="P70" t="str">
        <f>CLEAN("BACKBONE                                                                                            ")</f>
        <v xml:space="preserve">BACKBONE                                                                                            </v>
      </c>
    </row>
    <row r="71" spans="1:16" x14ac:dyDescent="0.25">
      <c r="A71" t="str">
        <f t="shared" si="26"/>
        <v>10</v>
      </c>
      <c r="B71" t="str">
        <f>CLEAN("25")</f>
        <v>25</v>
      </c>
      <c r="C71" s="1">
        <v>46078</v>
      </c>
      <c r="D71" t="str">
        <f>CLEAN("1022-00-97")</f>
        <v>1022-00-97</v>
      </c>
      <c r="E71" t="str">
        <f t="shared" si="30"/>
        <v xml:space="preserve">303  </v>
      </c>
      <c r="F71" t="str">
        <f>CLEAN("$0 - $99,999             ")</f>
        <v xml:space="preserve">$0 - $99,999             </v>
      </c>
      <c r="G71" t="str">
        <f>CLEAN("SFA")</f>
        <v>SFA</v>
      </c>
      <c r="H71" t="str">
        <f>CLEAN("NONLET CONSTR/REAL ESTATE")</f>
        <v>NONLET CONSTR/REAL ESTATE</v>
      </c>
      <c r="I71" t="str">
        <f>CLEAN("EX-TRF MIT/ CONST ID 1022-00-74    ")</f>
        <v xml:space="preserve">EX-TRF MIT/ CONST ID 1022-00-74    </v>
      </c>
      <c r="J71" t="str">
        <f>CLEAN("IH  094")</f>
        <v>IH  094</v>
      </c>
      <c r="K71" t="str">
        <f>CLEAN("EAU CLAIRE                    ")</f>
        <v xml:space="preserve">EAU CLAIRE                    </v>
      </c>
      <c r="L71" t="str">
        <f>CLEAN("CHIPPEWA RIVER B-18-23,24,44,45    ")</f>
        <v xml:space="preserve">CHIPPEWA RIVER B-18-23,24,44,45    </v>
      </c>
      <c r="M71" t="str">
        <f>CLEAN("MENOMONIE - EAU CLAIRE             ")</f>
        <v xml:space="preserve">MENOMONIE - EAU CLAIRE             </v>
      </c>
      <c r="N71">
        <v>0.14799999999999999</v>
      </c>
      <c r="O71" t="str">
        <f t="shared" si="29"/>
        <v xml:space="preserve">          </v>
      </c>
      <c r="P71" t="str">
        <f>CLEAN("BACKBONE                                                                                            ")</f>
        <v xml:space="preserve">BACKBONE                                                                                            </v>
      </c>
    </row>
    <row r="72" spans="1:16" x14ac:dyDescent="0.25">
      <c r="A72" t="str">
        <f t="shared" si="26"/>
        <v>10</v>
      </c>
      <c r="B72" t="str">
        <f>CLEAN("22")</f>
        <v>22</v>
      </c>
      <c r="C72" s="1">
        <v>45925</v>
      </c>
      <c r="D72" t="str">
        <f>CLEAN("1030-43-91")</f>
        <v>1030-43-91</v>
      </c>
      <c r="E72" t="str">
        <f t="shared" si="30"/>
        <v xml:space="preserve">303  </v>
      </c>
      <c r="F72" t="str">
        <f>CLEAN("$0 - $99,999             ")</f>
        <v xml:space="preserve">$0 - $99,999             </v>
      </c>
      <c r="G72" t="str">
        <f>CLEAN("MIS")</f>
        <v>MIS</v>
      </c>
      <c r="H72" t="str">
        <f>CLEAN("NONLET CONSTR/REAL ESTATE")</f>
        <v>NONLET CONSTR/REAL ESTATE</v>
      </c>
      <c r="I72" t="str">
        <f>CLEAN("CONST/MITIGATION VARIOUS IDS       ")</f>
        <v xml:space="preserve">CONST/MITIGATION VARIOUS IDS       </v>
      </c>
      <c r="J72" t="str">
        <f>CLEAN("VAR HWY")</f>
        <v>VAR HWY</v>
      </c>
      <c r="K72" t="str">
        <f>CLEAN("MILWAUKEE                     ")</f>
        <v xml:space="preserve">MILWAUKEE                     </v>
      </c>
      <c r="L72" t="str">
        <f>CLEAN("SE REGION TRAFFIC MITIGATION 2025  ")</f>
        <v xml:space="preserve">SE REGION TRAFFIC MITIGATION 2025  </v>
      </c>
      <c r="M72" t="str">
        <f>CLEAN("VARIOUS FREEWAYS (MILWAUKEE COUNTY)")</f>
        <v>VARIOUS FREEWAYS (MILWAUKEE COUNTY)</v>
      </c>
      <c r="N72">
        <v>11.62</v>
      </c>
      <c r="O72" t="str">
        <f t="shared" si="29"/>
        <v xml:space="preserve">          </v>
      </c>
      <c r="P72" t="str">
        <f>CLEAN("BACKBONE                                                                                            ")</f>
        <v xml:space="preserve">BACKBONE                                                                                            </v>
      </c>
    </row>
    <row r="73" spans="1:16" x14ac:dyDescent="0.25">
      <c r="A73" t="str">
        <f t="shared" si="26"/>
        <v>10</v>
      </c>
      <c r="B73" t="str">
        <f>CLEAN("22")</f>
        <v>22</v>
      </c>
      <c r="C73" s="1">
        <v>46126</v>
      </c>
      <c r="D73" t="str">
        <f>CLEAN("1040-05-71")</f>
        <v>1040-05-71</v>
      </c>
      <c r="E73" t="str">
        <f t="shared" si="30"/>
        <v xml:space="preserve">303  </v>
      </c>
      <c r="F73" t="str">
        <f>CLEAN("$1,000,000 - $1,999,999  ")</f>
        <v xml:space="preserve">$1,000,000 - $1,999,999  </v>
      </c>
      <c r="G73" t="str">
        <f>CLEAN("LET")</f>
        <v>LET</v>
      </c>
      <c r="H73" t="str">
        <f>CLEAN("LET CONSTRUCTION         ")</f>
        <v xml:space="preserve">LET CONSTRUCTION         </v>
      </c>
      <c r="I73" t="str">
        <f>CLEAN("CONST/MISC                         ")</f>
        <v xml:space="preserve">CONST/MISC                         </v>
      </c>
      <c r="J73" t="str">
        <f>CLEAN("STH 057")</f>
        <v>STH 057</v>
      </c>
      <c r="K73" t="str">
        <f>CLEAN("OZAUKEE                       ")</f>
        <v xml:space="preserve">OZAUKEE                       </v>
      </c>
      <c r="L73" t="str">
        <f>CLEAN("SAUKVILLE - WALDO                  ")</f>
        <v xml:space="preserve">SAUKVILLE - WALDO                  </v>
      </c>
      <c r="M73" t="str">
        <f>CLEAN(".02 M S OF SHEBOYGAN/OZAUKEE CO LN ")</f>
        <v xml:space="preserve">.02 M S OF SHEBOYGAN/OZAUKEE CO LN </v>
      </c>
      <c r="N73">
        <v>2.9000000000000001E-2</v>
      </c>
      <c r="O73" t="str">
        <f t="shared" si="29"/>
        <v xml:space="preserve">          </v>
      </c>
      <c r="P73" t="str">
        <f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74" spans="1:16" x14ac:dyDescent="0.25">
      <c r="A74" t="str">
        <f t="shared" si="26"/>
        <v>10</v>
      </c>
      <c r="B74" t="str">
        <f>CLEAN("25")</f>
        <v>25</v>
      </c>
      <c r="C74" s="1">
        <v>46035</v>
      </c>
      <c r="D74" t="str">
        <f>CLEAN("1050-00-60")</f>
        <v>1050-00-60</v>
      </c>
      <c r="E74" t="str">
        <f t="shared" si="30"/>
        <v xml:space="preserve">303  </v>
      </c>
      <c r="F74" t="str">
        <f>CLEAN("$10,000,000 - $10,999,999")</f>
        <v>$10,000,000 - $10,999,999</v>
      </c>
      <c r="G74" t="str">
        <f>CLEAN("LET")</f>
        <v>LET</v>
      </c>
      <c r="H74" t="str">
        <f>CLEAN("LET CONSTRUCTION         ")</f>
        <v xml:space="preserve">LET CONSTRUCTION         </v>
      </c>
      <c r="I74" t="str">
        <f>CLEAN("CONSTRUCTION/RESURFACE             ")</f>
        <v xml:space="preserve">CONSTRUCTION/RESURFACE             </v>
      </c>
      <c r="J74" t="str">
        <f t="shared" ref="J74:J84" si="31">CLEAN("STH 029")</f>
        <v>STH 029</v>
      </c>
      <c r="K74" t="str">
        <f>CLEAN("CHIPPEWA                      ")</f>
        <v xml:space="preserve">CHIPPEWA                      </v>
      </c>
      <c r="L74" t="str">
        <f>CLEAN("CHIPPEWA FALLS - ABBOTSFORD        ")</f>
        <v xml:space="preserve">CHIPPEWA FALLS - ABBOTSFORD        </v>
      </c>
      <c r="M74" t="str">
        <f>CLEAN("320TH ST TO KOSER AVE EB &amp; WB      ")</f>
        <v xml:space="preserve">320TH ST TO KOSER AVE EB &amp; WB      </v>
      </c>
      <c r="N74">
        <v>7.0640000000000001</v>
      </c>
      <c r="O74" t="str">
        <f t="shared" si="29"/>
        <v xml:space="preserve">          </v>
      </c>
      <c r="P74" t="str">
        <f>CLEAN("BACKBONE                                                                                            ")</f>
        <v xml:space="preserve">BACKBONE                                                                                            </v>
      </c>
    </row>
    <row r="75" spans="1:16" x14ac:dyDescent="0.25">
      <c r="A75" t="str">
        <f t="shared" si="26"/>
        <v>10</v>
      </c>
      <c r="B75" t="str">
        <f>CLEAN("25")</f>
        <v>25</v>
      </c>
      <c r="C75" s="1">
        <v>46035</v>
      </c>
      <c r="D75" t="str">
        <f>CLEAN("1050-01-74")</f>
        <v>1050-01-74</v>
      </c>
      <c r="E75" t="str">
        <f t="shared" si="30"/>
        <v xml:space="preserve">303  </v>
      </c>
      <c r="F75" t="str">
        <f>CLEAN("$20,000,000 - $24,999,999")</f>
        <v>$20,000,000 - $24,999,999</v>
      </c>
      <c r="G75" t="str">
        <f>CLEAN("LET")</f>
        <v>LET</v>
      </c>
      <c r="H75" t="str">
        <f>CLEAN("LET CONSTRUCTION         ")</f>
        <v xml:space="preserve">LET CONSTRUCTION         </v>
      </c>
      <c r="I75" t="str">
        <f>CLEAN("CONSTRUCTION/RESURFACE             ")</f>
        <v xml:space="preserve">CONSTRUCTION/RESURFACE             </v>
      </c>
      <c r="J75" t="str">
        <f t="shared" si="31"/>
        <v>STH 029</v>
      </c>
      <c r="K75" t="str">
        <f>CLEAN("CLARK                         ")</f>
        <v xml:space="preserve">CLARK                         </v>
      </c>
      <c r="L75" t="str">
        <f>CLEAN("THORP - ABBOTTSFORD                ")</f>
        <v xml:space="preserve">THORP - ABBOTTSFORD                </v>
      </c>
      <c r="M75" t="str">
        <f>CLEAN("CTH D TO STH 13                    ")</f>
        <v xml:space="preserve">CTH D TO STH 13                    </v>
      </c>
      <c r="N75">
        <v>12.061</v>
      </c>
      <c r="O75" t="str">
        <f t="shared" si="29"/>
        <v xml:space="preserve">          </v>
      </c>
      <c r="P75" t="str">
        <f>CLEAN("BACKBONE                                                                                            ")</f>
        <v xml:space="preserve">BACKBONE                                                                                            </v>
      </c>
    </row>
    <row r="76" spans="1:16" x14ac:dyDescent="0.25">
      <c r="A76" t="str">
        <f t="shared" si="26"/>
        <v>10</v>
      </c>
      <c r="B76" t="str">
        <f t="shared" ref="B76:B84" si="32">CLEAN("24")</f>
        <v>24</v>
      </c>
      <c r="C76" s="1">
        <v>46259</v>
      </c>
      <c r="D76" t="str">
        <f>CLEAN("1053-02-26")</f>
        <v>1053-02-26</v>
      </c>
      <c r="E76" t="str">
        <f t="shared" si="30"/>
        <v xml:space="preserve">303  </v>
      </c>
      <c r="F76" t="str">
        <f>CLEAN("$0 - $99,999             ")</f>
        <v xml:space="preserve">$0 - $99,999             </v>
      </c>
      <c r="G76" t="str">
        <f>CLEAN("R/E")</f>
        <v>R/E</v>
      </c>
      <c r="H76" t="str">
        <f>CLEAN("NONLET CONSTR/REAL ESTATE")</f>
        <v>NONLET CONSTR/REAL ESTATE</v>
      </c>
      <c r="I76" t="str">
        <f>CLEAN("REAL ESTATE/PREV MAINTENANCE       ")</f>
        <v xml:space="preserve">REAL ESTATE/PREV MAINTENANCE       </v>
      </c>
      <c r="J76" t="str">
        <f t="shared" si="31"/>
        <v>STH 029</v>
      </c>
      <c r="K76" t="str">
        <f t="shared" ref="K76:K82" si="33">CLEAN("MARATHON                      ")</f>
        <v xml:space="preserve">MARATHON                      </v>
      </c>
      <c r="L76" t="str">
        <f>CLEAN("WAUSAU - WITTENBERG                ")</f>
        <v xml:space="preserve">WAUSAU - WITTENBERG                </v>
      </c>
      <c r="M76" t="str">
        <f>CLEAN("CTH Q TO HILLY ACRES ROAD, EB      ")</f>
        <v xml:space="preserve">CTH Q TO HILLY ACRES ROAD, EB      </v>
      </c>
      <c r="N76">
        <v>7.16</v>
      </c>
      <c r="O76" t="str">
        <f t="shared" si="29"/>
        <v xml:space="preserve">          </v>
      </c>
      <c r="P76" t="str">
        <f>CLEAN("BACKBONE                                                                                            ")</f>
        <v xml:space="preserve">BACKBONE                                                                                            </v>
      </c>
    </row>
    <row r="77" spans="1:16" x14ac:dyDescent="0.25">
      <c r="A77" t="str">
        <f t="shared" si="26"/>
        <v>10</v>
      </c>
      <c r="B77" t="str">
        <f t="shared" si="32"/>
        <v>24</v>
      </c>
      <c r="C77" s="1">
        <v>45881</v>
      </c>
      <c r="D77" t="str">
        <f>CLEAN("1053-07-60")</f>
        <v>1053-07-60</v>
      </c>
      <c r="E77" t="str">
        <f t="shared" si="30"/>
        <v xml:space="preserve">303  </v>
      </c>
      <c r="F77" t="str">
        <f>CLEAN("$4,000,000 - $4,999,999  ")</f>
        <v xml:space="preserve">$4,000,000 - $4,999,999  </v>
      </c>
      <c r="G77" t="str">
        <f t="shared" ref="G77:G84" si="34">CLEAN("LET")</f>
        <v>LET</v>
      </c>
      <c r="H77" t="str">
        <f t="shared" ref="H77:H84" si="35">CLEAN("LET CONSTRUCTION         ")</f>
        <v xml:space="preserve">LET CONSTRUCTION         </v>
      </c>
      <c r="I77" t="str">
        <f>CLEAN("CONST/PREV MAINTENANCE             ")</f>
        <v xml:space="preserve">CONST/PREV MAINTENANCE             </v>
      </c>
      <c r="J77" t="str">
        <f t="shared" si="31"/>
        <v>STH 029</v>
      </c>
      <c r="K77" t="str">
        <f t="shared" si="33"/>
        <v xml:space="preserve">MARATHON                      </v>
      </c>
      <c r="L77" t="str">
        <f>CLEAN("WAUSAU - WITTENBERG                ")</f>
        <v xml:space="preserve">WAUSAU - WITTENBERG                </v>
      </c>
      <c r="M77" t="str">
        <f>CLEAN("CTH D TO CTH OO                    ")</f>
        <v xml:space="preserve">CTH D TO CTH OO                    </v>
      </c>
      <c r="N77">
        <v>3.61</v>
      </c>
      <c r="O77" t="str">
        <f t="shared" si="29"/>
        <v xml:space="preserve">          </v>
      </c>
      <c r="P77" t="str">
        <f>CLEAN("BACKBONE                                                                                            ")</f>
        <v xml:space="preserve">BACKBONE                                                                                            </v>
      </c>
    </row>
    <row r="78" spans="1:16" x14ac:dyDescent="0.25">
      <c r="A78" t="str">
        <f t="shared" si="26"/>
        <v>10</v>
      </c>
      <c r="B78" t="str">
        <f t="shared" si="32"/>
        <v>24</v>
      </c>
      <c r="C78" s="1">
        <v>45881</v>
      </c>
      <c r="D78" t="str">
        <f>CLEAN("1053-07-60")</f>
        <v>1053-07-60</v>
      </c>
      <c r="E78" t="str">
        <f t="shared" si="30"/>
        <v xml:space="preserve">303  </v>
      </c>
      <c r="F78" t="str">
        <f>CLEAN("$4,000,000 - $4,999,999  ")</f>
        <v xml:space="preserve">$4,000,000 - $4,999,999  </v>
      </c>
      <c r="G78" t="str">
        <f t="shared" si="34"/>
        <v>LET</v>
      </c>
      <c r="H78" t="str">
        <f t="shared" si="35"/>
        <v xml:space="preserve">LET CONSTRUCTION         </v>
      </c>
      <c r="I78" t="str">
        <f>CLEAN("CONST/PREV MAINTENANCE             ")</f>
        <v xml:space="preserve">CONST/PREV MAINTENANCE             </v>
      </c>
      <c r="J78" t="str">
        <f t="shared" si="31"/>
        <v>STH 029</v>
      </c>
      <c r="K78" t="str">
        <f t="shared" si="33"/>
        <v xml:space="preserve">MARATHON                      </v>
      </c>
      <c r="L78" t="str">
        <f>CLEAN("WAUSAU - WITTENBERG                ")</f>
        <v xml:space="preserve">WAUSAU - WITTENBERG                </v>
      </c>
      <c r="M78" t="str">
        <f>CLEAN("CTH D TO CTH OO                    ")</f>
        <v xml:space="preserve">CTH D TO CTH OO                    </v>
      </c>
      <c r="N78">
        <v>3.61</v>
      </c>
      <c r="O78" t="str">
        <f t="shared" si="29"/>
        <v xml:space="preserve">          </v>
      </c>
      <c r="P78" t="str">
        <f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79" spans="1:16" x14ac:dyDescent="0.25">
      <c r="A79" t="str">
        <f t="shared" si="26"/>
        <v>10</v>
      </c>
      <c r="B79" t="str">
        <f t="shared" si="32"/>
        <v>24</v>
      </c>
      <c r="C79" s="1">
        <v>45881</v>
      </c>
      <c r="D79" t="str">
        <f>CLEAN("1053-07-61")</f>
        <v>1053-07-61</v>
      </c>
      <c r="E79" t="str">
        <f t="shared" si="30"/>
        <v xml:space="preserve">303  </v>
      </c>
      <c r="F79" t="str">
        <f>CLEAN("$3,000,000 - $3,999,999  ")</f>
        <v xml:space="preserve">$3,000,000 - $3,999,999  </v>
      </c>
      <c r="G79" t="str">
        <f t="shared" si="34"/>
        <v>LET</v>
      </c>
      <c r="H79" t="str">
        <f t="shared" si="35"/>
        <v xml:space="preserve">LET CONSTRUCTION         </v>
      </c>
      <c r="I79" t="str">
        <f>CLEAN("CONST/PREV MAINTENANCE             ")</f>
        <v xml:space="preserve">CONST/PREV MAINTENANCE             </v>
      </c>
      <c r="J79" t="str">
        <f t="shared" si="31"/>
        <v>STH 029</v>
      </c>
      <c r="K79" t="str">
        <f t="shared" si="33"/>
        <v xml:space="preserve">MARATHON                      </v>
      </c>
      <c r="L79" t="str">
        <f>CLEAN("WAUSAU - WITTENBERG                ")</f>
        <v xml:space="preserve">WAUSAU - WITTENBERG                </v>
      </c>
      <c r="M79" t="str">
        <f>CLEAN("CTH Q TO BASS LAKE ROAD, WB        ")</f>
        <v xml:space="preserve">CTH Q TO BASS LAKE ROAD, WB        </v>
      </c>
      <c r="N79">
        <v>4.38</v>
      </c>
      <c r="O79" t="str">
        <f t="shared" si="29"/>
        <v xml:space="preserve">          </v>
      </c>
      <c r="P79" t="str">
        <f>CLEAN("BACKBONE                                                                                            ")</f>
        <v xml:space="preserve">BACKBONE                                                                                            </v>
      </c>
    </row>
    <row r="80" spans="1:16" x14ac:dyDescent="0.25">
      <c r="A80" t="str">
        <f t="shared" si="26"/>
        <v>10</v>
      </c>
      <c r="B80" t="str">
        <f t="shared" si="32"/>
        <v>24</v>
      </c>
      <c r="C80" s="1">
        <v>45944</v>
      </c>
      <c r="D80" t="str">
        <f>CLEAN("1053-07-86")</f>
        <v>1053-07-86</v>
      </c>
      <c r="E80" t="str">
        <f t="shared" si="30"/>
        <v xml:space="preserve">303  </v>
      </c>
      <c r="F80" t="str">
        <f>CLEAN("$17,000,000 - $19,999,999")</f>
        <v>$17,000,000 - $19,999,999</v>
      </c>
      <c r="G80" t="str">
        <f t="shared" si="34"/>
        <v>LET</v>
      </c>
      <c r="H80" t="str">
        <f t="shared" si="35"/>
        <v xml:space="preserve">LET CONSTRUCTION         </v>
      </c>
      <c r="I80" t="str">
        <f>CLEAN("CONST/PAVEMENT REPLACEMENT         ")</f>
        <v xml:space="preserve">CONST/PAVEMENT REPLACEMENT         </v>
      </c>
      <c r="J80" t="str">
        <f t="shared" si="31"/>
        <v>STH 029</v>
      </c>
      <c r="K80" t="str">
        <f t="shared" si="33"/>
        <v xml:space="preserve">MARATHON                      </v>
      </c>
      <c r="L80" t="str">
        <f>CLEAN("ABBOTSFORD - WAUSAU                ")</f>
        <v xml:space="preserve">ABBOTSFORD - WAUSAU                </v>
      </c>
      <c r="M80" t="str">
        <f>CLEAN("STH 97 TO PHEASANT FALLS ROAD, WB  ")</f>
        <v xml:space="preserve">STH 97 TO PHEASANT FALLS ROAD, WB  </v>
      </c>
      <c r="N80">
        <v>8.2100000000000009</v>
      </c>
      <c r="O80" t="str">
        <f>CLEAN("1053-07-87")</f>
        <v>1053-07-87</v>
      </c>
      <c r="P80" t="str">
        <f>CLEAN("BACKBONE                                                                                            ")</f>
        <v xml:space="preserve">BACKBONE                                                                                            </v>
      </c>
    </row>
    <row r="81" spans="1:16" x14ac:dyDescent="0.25">
      <c r="A81" t="str">
        <f t="shared" si="26"/>
        <v>10</v>
      </c>
      <c r="B81" t="str">
        <f t="shared" si="32"/>
        <v>24</v>
      </c>
      <c r="C81" s="1">
        <v>45944</v>
      </c>
      <c r="D81" t="str">
        <f>CLEAN("1053-07-86")</f>
        <v>1053-07-86</v>
      </c>
      <c r="E81" t="str">
        <f t="shared" si="30"/>
        <v xml:space="preserve">303  </v>
      </c>
      <c r="F81" t="str">
        <f>CLEAN("$17,000,000 - $19,999,999")</f>
        <v>$17,000,000 - $19,999,999</v>
      </c>
      <c r="G81" t="str">
        <f t="shared" si="34"/>
        <v>LET</v>
      </c>
      <c r="H81" t="str">
        <f t="shared" si="35"/>
        <v xml:space="preserve">LET CONSTRUCTION         </v>
      </c>
      <c r="I81" t="str">
        <f>CLEAN("CONST/PAVEMENT REPLACEMENT         ")</f>
        <v xml:space="preserve">CONST/PAVEMENT REPLACEMENT         </v>
      </c>
      <c r="J81" t="str">
        <f t="shared" si="31"/>
        <v>STH 029</v>
      </c>
      <c r="K81" t="str">
        <f t="shared" si="33"/>
        <v xml:space="preserve">MARATHON                      </v>
      </c>
      <c r="L81" t="str">
        <f>CLEAN("ABBOTSFORD - WAUSAU                ")</f>
        <v xml:space="preserve">ABBOTSFORD - WAUSAU                </v>
      </c>
      <c r="M81" t="str">
        <f>CLEAN("STH 97 TO PHEASANT FALLS ROAD, WB  ")</f>
        <v xml:space="preserve">STH 97 TO PHEASANT FALLS ROAD, WB  </v>
      </c>
      <c r="N81">
        <v>8.2100000000000009</v>
      </c>
      <c r="O81" t="str">
        <f>CLEAN("1053-07-87")</f>
        <v>1053-07-87</v>
      </c>
      <c r="P81" t="str">
        <f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82" spans="1:16" x14ac:dyDescent="0.25">
      <c r="A82" t="str">
        <f t="shared" si="26"/>
        <v>10</v>
      </c>
      <c r="B82" t="str">
        <f t="shared" si="32"/>
        <v>24</v>
      </c>
      <c r="C82" s="1">
        <v>45944</v>
      </c>
      <c r="D82" t="str">
        <f>CLEAN("1053-07-87")</f>
        <v>1053-07-87</v>
      </c>
      <c r="E82" t="str">
        <f t="shared" si="30"/>
        <v xml:space="preserve">303  </v>
      </c>
      <c r="F82" t="str">
        <f>CLEAN("$4,000,000 - $4,999,999  ")</f>
        <v xml:space="preserve">$4,000,000 - $4,999,999  </v>
      </c>
      <c r="G82" t="str">
        <f t="shared" si="34"/>
        <v>LET</v>
      </c>
      <c r="H82" t="str">
        <f t="shared" si="35"/>
        <v xml:space="preserve">LET CONSTRUCTION         </v>
      </c>
      <c r="I82" t="str">
        <f>CLEAN("CONST/RESURFACE                    ")</f>
        <v xml:space="preserve">CONST/RESURFACE                    </v>
      </c>
      <c r="J82" t="str">
        <f t="shared" si="31"/>
        <v>STH 029</v>
      </c>
      <c r="K82" t="str">
        <f t="shared" si="33"/>
        <v xml:space="preserve">MARATHON                      </v>
      </c>
      <c r="L82" t="str">
        <f>CLEAN("ABBOTSFORD - WAUSAU                ")</f>
        <v xml:space="preserve">ABBOTSFORD - WAUSAU                </v>
      </c>
      <c r="M82" t="str">
        <f>CLEAN("PHEASANT FALLS TO PURPLE MARTIN, WB")</f>
        <v>PHEASANT FALLS TO PURPLE MARTIN, WB</v>
      </c>
      <c r="N82">
        <v>2.78</v>
      </c>
      <c r="O82" t="str">
        <f>CLEAN("1053-07-86")</f>
        <v>1053-07-86</v>
      </c>
      <c r="P82" t="str">
        <f>CLEAN("BACKBONE                                                                                            ")</f>
        <v xml:space="preserve">BACKBONE                                                                                            </v>
      </c>
    </row>
    <row r="83" spans="1:16" x14ac:dyDescent="0.25">
      <c r="A83" t="str">
        <f t="shared" si="26"/>
        <v>10</v>
      </c>
      <c r="B83" t="str">
        <f t="shared" si="32"/>
        <v>24</v>
      </c>
      <c r="C83" s="1">
        <v>45881</v>
      </c>
      <c r="D83" t="str">
        <f>CLEAN("1058-22-60")</f>
        <v>1058-22-60</v>
      </c>
      <c r="E83" t="str">
        <f t="shared" si="30"/>
        <v xml:space="preserve">303  </v>
      </c>
      <c r="F83" t="str">
        <f>CLEAN("$7,000,000 - $7,999,999  ")</f>
        <v xml:space="preserve">$7,000,000 - $7,999,999  </v>
      </c>
      <c r="G83" t="str">
        <f t="shared" si="34"/>
        <v>LET</v>
      </c>
      <c r="H83" t="str">
        <f t="shared" si="35"/>
        <v xml:space="preserve">LET CONSTRUCTION         </v>
      </c>
      <c r="I83" t="str">
        <f>CLEAN("CONST/PREV MAINTENANCE             ")</f>
        <v xml:space="preserve">CONST/PREV MAINTENANCE             </v>
      </c>
      <c r="J83" t="str">
        <f t="shared" si="31"/>
        <v>STH 029</v>
      </c>
      <c r="K83" t="str">
        <f>CLEAN("SHAWANO                       ")</f>
        <v xml:space="preserve">SHAWANO                       </v>
      </c>
      <c r="L83" t="str">
        <f>CLEAN("WITTENBERG - SHAWANO               ")</f>
        <v xml:space="preserve">WITTENBERG - SHAWANO               </v>
      </c>
      <c r="M83" t="str">
        <f>CLEAN("CTH J TO CTH M, EB                 ")</f>
        <v xml:space="preserve">CTH J TO CTH M, EB                 </v>
      </c>
      <c r="N83">
        <v>19.84</v>
      </c>
      <c r="O83" t="str">
        <f>CLEAN("1058-22-61")</f>
        <v>1058-22-61</v>
      </c>
      <c r="P83" t="str">
        <f>CLEAN("BACKBONE                                                                                            ")</f>
        <v xml:space="preserve">BACKBONE                                                                                            </v>
      </c>
    </row>
    <row r="84" spans="1:16" x14ac:dyDescent="0.25">
      <c r="A84" t="str">
        <f t="shared" si="26"/>
        <v>10</v>
      </c>
      <c r="B84" t="str">
        <f t="shared" si="32"/>
        <v>24</v>
      </c>
      <c r="C84" s="1">
        <v>45881</v>
      </c>
      <c r="D84" t="str">
        <f>CLEAN("1058-22-61")</f>
        <v>1058-22-61</v>
      </c>
      <c r="E84" t="str">
        <f t="shared" si="30"/>
        <v xml:space="preserve">303  </v>
      </c>
      <c r="F84" t="str">
        <f>CLEAN("$5,000,000 - $5,999,999  ")</f>
        <v xml:space="preserve">$5,000,000 - $5,999,999  </v>
      </c>
      <c r="G84" t="str">
        <f t="shared" si="34"/>
        <v>LET</v>
      </c>
      <c r="H84" t="str">
        <f t="shared" si="35"/>
        <v xml:space="preserve">LET CONSTRUCTION         </v>
      </c>
      <c r="I84" t="str">
        <f>CLEAN("CONST/PREV MAINTENANCE             ")</f>
        <v xml:space="preserve">CONST/PREV MAINTENANCE             </v>
      </c>
      <c r="J84" t="str">
        <f t="shared" si="31"/>
        <v>STH 029</v>
      </c>
      <c r="K84" t="str">
        <f>CLEAN("SHAWANO                       ")</f>
        <v xml:space="preserve">SHAWANO                       </v>
      </c>
      <c r="L84" t="str">
        <f>CLEAN("WITTENBERG - SHAWANO               ")</f>
        <v xml:space="preserve">WITTENBERG - SHAWANO               </v>
      </c>
      <c r="M84" t="str">
        <f>CLEAN("CTH J TO SPRUCE ROAD, WB           ")</f>
        <v xml:space="preserve">CTH J TO SPRUCE ROAD, WB           </v>
      </c>
      <c r="N84">
        <v>14.84</v>
      </c>
      <c r="O84" t="str">
        <f>CLEAN("1058-22-60")</f>
        <v>1058-22-60</v>
      </c>
      <c r="P84" t="str">
        <f>CLEAN("BACKBONE                                                                                            ")</f>
        <v xml:space="preserve">BACKBONE                                                                                            </v>
      </c>
    </row>
    <row r="85" spans="1:16" x14ac:dyDescent="0.25">
      <c r="A85" t="str">
        <f t="shared" si="26"/>
        <v>10</v>
      </c>
      <c r="B85" t="str">
        <f t="shared" ref="B85:B114" si="36">CLEAN("22")</f>
        <v>22</v>
      </c>
      <c r="C85" s="1">
        <v>45894</v>
      </c>
      <c r="D85" t="str">
        <f>CLEAN("1060-25-43")</f>
        <v>1060-25-43</v>
      </c>
      <c r="E85" t="str">
        <f t="shared" ref="E85:E106" si="37">CLEAN("301EW")</f>
        <v>301EW</v>
      </c>
      <c r="F85" t="str">
        <f>CLEAN("$0 - $99,999             ")</f>
        <v xml:space="preserve">$0 - $99,999             </v>
      </c>
      <c r="G85" t="str">
        <f>CLEAN("UTL")</f>
        <v>UTL</v>
      </c>
      <c r="H85" t="str">
        <f t="shared" ref="H85:H91" si="38">CLEAN("NONLET CONSTR/REAL ESTATE")</f>
        <v>NONLET CONSTR/REAL ESTATE</v>
      </c>
      <c r="I85" t="str">
        <f>CLEAN("CONST/CONDUIT                      ")</f>
        <v xml:space="preserve">CONST/CONDUIT                      </v>
      </c>
      <c r="J85" t="str">
        <f t="shared" ref="J85:J101" si="39">CLEAN("IH  094")</f>
        <v>IH  094</v>
      </c>
      <c r="K85" t="str">
        <f t="shared" ref="K85:K110" si="40">CLEAN("MILWAUKEE                     ")</f>
        <v xml:space="preserve">MILWAUKEE                     </v>
      </c>
      <c r="L85" t="str">
        <f>CLEAN("I-94 EAST WEST, WEST LEG           ")</f>
        <v xml:space="preserve">I-94 EAST WEST, WEST LEG           </v>
      </c>
      <c r="M85" t="str">
        <f>CLEAN("70TH STREET TO ZABLOCKI DRIVE      ")</f>
        <v xml:space="preserve">70TH STREET TO ZABLOCKI DRIVE      </v>
      </c>
      <c r="N85">
        <v>0.90600000000000003</v>
      </c>
      <c r="O85" t="str">
        <f t="shared" ref="O85:O106" si="41">CLEAN("          ")</f>
        <v xml:space="preserve">          </v>
      </c>
      <c r="P85" t="str">
        <f t="shared" ref="P85:P106" si="42">CLEAN("SE FREEWAY - EAST WEST                                                                              ")</f>
        <v xml:space="preserve">SE FREEWAY - EAST WEST                                                                              </v>
      </c>
    </row>
    <row r="86" spans="1:16" x14ac:dyDescent="0.25">
      <c r="A86" t="str">
        <f t="shared" si="26"/>
        <v>10</v>
      </c>
      <c r="B86" t="str">
        <f t="shared" si="36"/>
        <v>22</v>
      </c>
      <c r="C86" s="1">
        <v>45894</v>
      </c>
      <c r="D86" t="str">
        <f>CLEAN("1060-27-23")</f>
        <v>1060-27-23</v>
      </c>
      <c r="E86" t="str">
        <f t="shared" si="37"/>
        <v>301EW</v>
      </c>
      <c r="F86" t="str">
        <f>CLEAN("$40,000,000 - $44,999,999")</f>
        <v>$40,000,000 - $44,999,999</v>
      </c>
      <c r="G86" t="str">
        <f>CLEAN("R/E")</f>
        <v>R/E</v>
      </c>
      <c r="H86" t="str">
        <f t="shared" si="38"/>
        <v>NONLET CONSTR/REAL ESTATE</v>
      </c>
      <c r="I86" t="str">
        <f>CLEAN("RE RECSTE                          ")</f>
        <v xml:space="preserve">RE RECSTE                          </v>
      </c>
      <c r="J86" t="str">
        <f t="shared" si="39"/>
        <v>IH  094</v>
      </c>
      <c r="K86" t="str">
        <f t="shared" si="40"/>
        <v xml:space="preserve">MILWAUKEE                     </v>
      </c>
      <c r="L86" t="str">
        <f>CLEAN("I-94 EAST WEST, STADIUM INTERCHANGE")</f>
        <v>I-94 EAST WEST, STADIUM INTERCHANGE</v>
      </c>
      <c r="M86" t="str">
        <f>CLEAN("ZABLOCKI DRIVE TO 35TH STREET      ")</f>
        <v xml:space="preserve">ZABLOCKI DRIVE TO 35TH STREET      </v>
      </c>
      <c r="N86">
        <v>1.21</v>
      </c>
      <c r="O86" t="str">
        <f t="shared" si="41"/>
        <v xml:space="preserve">          </v>
      </c>
      <c r="P86" t="str">
        <f t="shared" si="42"/>
        <v xml:space="preserve">SE FREEWAY - EAST WEST                                                                              </v>
      </c>
    </row>
    <row r="87" spans="1:16" x14ac:dyDescent="0.25">
      <c r="A87" t="str">
        <f t="shared" si="26"/>
        <v>10</v>
      </c>
      <c r="B87" t="str">
        <f t="shared" si="36"/>
        <v>22</v>
      </c>
      <c r="C87" s="1">
        <v>45986</v>
      </c>
      <c r="D87" t="str">
        <f>CLEAN("1060-27-25")</f>
        <v>1060-27-25</v>
      </c>
      <c r="E87" t="str">
        <f t="shared" si="37"/>
        <v>301EW</v>
      </c>
      <c r="F87" t="str">
        <f>CLEAN("$2,000,000 - $2,999,999  ")</f>
        <v xml:space="preserve">$2,000,000 - $2,999,999  </v>
      </c>
      <c r="G87" t="str">
        <f>CLEAN("R/E")</f>
        <v>R/E</v>
      </c>
      <c r="H87" t="str">
        <f t="shared" si="38"/>
        <v>NONLET CONSTR/REAL ESTATE</v>
      </c>
      <c r="I87" t="str">
        <f>CLEAN("RE/RECSTE                          ")</f>
        <v xml:space="preserve">RE/RECSTE                          </v>
      </c>
      <c r="J87" t="str">
        <f t="shared" si="39"/>
        <v>IH  094</v>
      </c>
      <c r="K87" t="str">
        <f t="shared" si="40"/>
        <v xml:space="preserve">MILWAUKEE                     </v>
      </c>
      <c r="L87" t="str">
        <f>CLEAN("I-94 EAST WEST, EAST LEG           ")</f>
        <v xml:space="preserve">I-94 EAST WEST, EAST LEG           </v>
      </c>
      <c r="M87" t="str">
        <f>CLEAN("35TH STREET TO 16TH STREET         ")</f>
        <v xml:space="preserve">35TH STREET TO 16TH STREET         </v>
      </c>
      <c r="N87">
        <v>1.3240000000000001</v>
      </c>
      <c r="O87" t="str">
        <f t="shared" si="41"/>
        <v xml:space="preserve">          </v>
      </c>
      <c r="P87" t="str">
        <f t="shared" si="42"/>
        <v xml:space="preserve">SE FREEWAY - EAST WEST                                                                              </v>
      </c>
    </row>
    <row r="88" spans="1:16" x14ac:dyDescent="0.25">
      <c r="A88" t="str">
        <f t="shared" si="26"/>
        <v>10</v>
      </c>
      <c r="B88" t="str">
        <f t="shared" si="36"/>
        <v>22</v>
      </c>
      <c r="C88" s="1">
        <v>45894</v>
      </c>
      <c r="D88" t="str">
        <f>CLEAN("1060-27-41")</f>
        <v>1060-27-41</v>
      </c>
      <c r="E88" t="str">
        <f t="shared" si="37"/>
        <v>301EW</v>
      </c>
      <c r="F88" t="str">
        <f>CLEAN("$0 - $99,999             ")</f>
        <v xml:space="preserve">$0 - $99,999             </v>
      </c>
      <c r="G88" t="str">
        <f>CLEAN("UTL")</f>
        <v>UTL</v>
      </c>
      <c r="H88" t="str">
        <f t="shared" si="38"/>
        <v>NONLET CONSTR/REAL ESTATE</v>
      </c>
      <c r="I88" t="str">
        <f>CLEAN("UTIL/SEWER                         ")</f>
        <v xml:space="preserve">UTIL/SEWER                         </v>
      </c>
      <c r="J88" t="str">
        <f t="shared" si="39"/>
        <v>IH  094</v>
      </c>
      <c r="K88" t="str">
        <f t="shared" si="40"/>
        <v xml:space="preserve">MILWAUKEE                     </v>
      </c>
      <c r="L88" t="str">
        <f>CLEAN("I-94 EAST WEST, EARLY EAST LEG     ")</f>
        <v xml:space="preserve">I-94 EAST WEST, EARLY EAST LEG     </v>
      </c>
      <c r="M88" t="str">
        <f>CLEAN("30TH STREET TO 25TH STREET         ")</f>
        <v xml:space="preserve">30TH STREET TO 25TH STREET         </v>
      </c>
      <c r="N88">
        <v>0.27600000000000002</v>
      </c>
      <c r="O88" t="str">
        <f t="shared" si="41"/>
        <v xml:space="preserve">          </v>
      </c>
      <c r="P88" t="str">
        <f t="shared" si="42"/>
        <v xml:space="preserve">SE FREEWAY - EAST WEST                                                                              </v>
      </c>
    </row>
    <row r="89" spans="1:16" x14ac:dyDescent="0.25">
      <c r="A89" t="str">
        <f t="shared" si="26"/>
        <v>10</v>
      </c>
      <c r="B89" t="str">
        <f t="shared" si="36"/>
        <v>22</v>
      </c>
      <c r="C89" s="1">
        <v>45894</v>
      </c>
      <c r="D89" t="str">
        <f>CLEAN("1060-27-42")</f>
        <v>1060-27-42</v>
      </c>
      <c r="E89" t="str">
        <f t="shared" si="37"/>
        <v>301EW</v>
      </c>
      <c r="F89" t="str">
        <f>CLEAN("$0 - $99,999             ")</f>
        <v xml:space="preserve">$0 - $99,999             </v>
      </c>
      <c r="G89" t="str">
        <f>CLEAN("UTL")</f>
        <v>UTL</v>
      </c>
      <c r="H89" t="str">
        <f t="shared" si="38"/>
        <v>NONLET CONSTR/REAL ESTATE</v>
      </c>
      <c r="I89" t="str">
        <f>CLEAN("UTIL/WATER                         ")</f>
        <v xml:space="preserve">UTIL/WATER                         </v>
      </c>
      <c r="J89" t="str">
        <f t="shared" si="39"/>
        <v>IH  094</v>
      </c>
      <c r="K89" t="str">
        <f t="shared" si="40"/>
        <v xml:space="preserve">MILWAUKEE                     </v>
      </c>
      <c r="L89" t="str">
        <f>CLEAN("I-94 EAST WEST, EARLY EAST LEG     ")</f>
        <v xml:space="preserve">I-94 EAST WEST, EARLY EAST LEG     </v>
      </c>
      <c r="M89" t="str">
        <f>CLEAN("30TH STREET TO 25TH STREET         ")</f>
        <v xml:space="preserve">30TH STREET TO 25TH STREET         </v>
      </c>
      <c r="N89">
        <v>0.625</v>
      </c>
      <c r="O89" t="str">
        <f t="shared" si="41"/>
        <v xml:space="preserve">          </v>
      </c>
      <c r="P89" t="str">
        <f t="shared" si="42"/>
        <v xml:space="preserve">SE FREEWAY - EAST WEST                                                                              </v>
      </c>
    </row>
    <row r="90" spans="1:16" x14ac:dyDescent="0.25">
      <c r="A90" t="str">
        <f t="shared" si="26"/>
        <v>10</v>
      </c>
      <c r="B90" t="str">
        <f t="shared" si="36"/>
        <v>22</v>
      </c>
      <c r="C90" s="1">
        <v>45894</v>
      </c>
      <c r="D90" t="str">
        <f>CLEAN("1060-27-43")</f>
        <v>1060-27-43</v>
      </c>
      <c r="E90" t="str">
        <f t="shared" si="37"/>
        <v>301EW</v>
      </c>
      <c r="F90" t="str">
        <f>CLEAN("$0 - $99,999             ")</f>
        <v xml:space="preserve">$0 - $99,999             </v>
      </c>
      <c r="G90" t="str">
        <f>CLEAN("UTL")</f>
        <v>UTL</v>
      </c>
      <c r="H90" t="str">
        <f t="shared" si="38"/>
        <v>NONLET CONSTR/REAL ESTATE</v>
      </c>
      <c r="I90" t="str">
        <f>CLEAN("UTIL/COM LN                        ")</f>
        <v xml:space="preserve">UTIL/COM LN                        </v>
      </c>
      <c r="J90" t="str">
        <f t="shared" si="39"/>
        <v>IH  094</v>
      </c>
      <c r="K90" t="str">
        <f t="shared" si="40"/>
        <v xml:space="preserve">MILWAUKEE                     </v>
      </c>
      <c r="L90" t="str">
        <f>CLEAN("I-94 EAST WEST, EARLY EAST LEG     ")</f>
        <v xml:space="preserve">I-94 EAST WEST, EARLY EAST LEG     </v>
      </c>
      <c r="M90" t="str">
        <f>CLEAN("30TH STREET TO 25TH STREET         ")</f>
        <v xml:space="preserve">30TH STREET TO 25TH STREET         </v>
      </c>
      <c r="N90">
        <v>0.625</v>
      </c>
      <c r="O90" t="str">
        <f t="shared" si="41"/>
        <v xml:space="preserve">          </v>
      </c>
      <c r="P90" t="str">
        <f t="shared" si="42"/>
        <v xml:space="preserve">SE FREEWAY - EAST WEST                                                                              </v>
      </c>
    </row>
    <row r="91" spans="1:16" x14ac:dyDescent="0.25">
      <c r="A91" t="str">
        <f t="shared" si="26"/>
        <v>10</v>
      </c>
      <c r="B91" t="str">
        <f t="shared" si="36"/>
        <v>22</v>
      </c>
      <c r="C91" s="1">
        <v>45894</v>
      </c>
      <c r="D91" t="str">
        <f>CLEAN("1060-27-44")</f>
        <v>1060-27-44</v>
      </c>
      <c r="E91" t="str">
        <f t="shared" si="37"/>
        <v>301EW</v>
      </c>
      <c r="F91" t="str">
        <f>CLEAN("$0 - $99,999             ")</f>
        <v xml:space="preserve">$0 - $99,999             </v>
      </c>
      <c r="G91" t="str">
        <f>CLEAN("UTL")</f>
        <v>UTL</v>
      </c>
      <c r="H91" t="str">
        <f t="shared" si="38"/>
        <v>NONLET CONSTR/REAL ESTATE</v>
      </c>
      <c r="I91" t="str">
        <f>CLEAN("UTIL/CONDUIT                       ")</f>
        <v xml:space="preserve">UTIL/CONDUIT                       </v>
      </c>
      <c r="J91" t="str">
        <f t="shared" si="39"/>
        <v>IH  094</v>
      </c>
      <c r="K91" t="str">
        <f t="shared" si="40"/>
        <v xml:space="preserve">MILWAUKEE                     </v>
      </c>
      <c r="L91" t="str">
        <f>CLEAN("I-94 EAST WEST, EARLY EAST LEG     ")</f>
        <v xml:space="preserve">I-94 EAST WEST, EARLY EAST LEG     </v>
      </c>
      <c r="M91" t="str">
        <f>CLEAN("30TH STREET TO 25TH STREET         ")</f>
        <v xml:space="preserve">30TH STREET TO 25TH STREET         </v>
      </c>
      <c r="N91">
        <v>0.625</v>
      </c>
      <c r="O91" t="str">
        <f t="shared" si="41"/>
        <v xml:space="preserve">          </v>
      </c>
      <c r="P91" t="str">
        <f t="shared" si="42"/>
        <v xml:space="preserve">SE FREEWAY - EAST WEST                                                                              </v>
      </c>
    </row>
    <row r="92" spans="1:16" x14ac:dyDescent="0.25">
      <c r="A92" t="str">
        <f t="shared" si="26"/>
        <v>10</v>
      </c>
      <c r="B92" t="str">
        <f t="shared" si="36"/>
        <v>22</v>
      </c>
      <c r="C92" s="1">
        <v>45909</v>
      </c>
      <c r="D92" t="str">
        <f>CLEAN("1060-27-71")</f>
        <v>1060-27-71</v>
      </c>
      <c r="E92" t="str">
        <f t="shared" si="37"/>
        <v>301EW</v>
      </c>
      <c r="F92" t="str">
        <f>CLEAN("$100 MILLION OR GREATER  ")</f>
        <v xml:space="preserve">$100 MILLION OR GREATER  </v>
      </c>
      <c r="G92" t="str">
        <f>CLEAN("LET")</f>
        <v>LET</v>
      </c>
      <c r="H92" t="str">
        <f>CLEAN("LET CONSTRUCTION         ")</f>
        <v xml:space="preserve">LET CONSTRUCTION         </v>
      </c>
      <c r="I92" t="str">
        <f>CLEAN("CONST/RECSTE                       ")</f>
        <v xml:space="preserve">CONST/RECSTE                       </v>
      </c>
      <c r="J92" t="str">
        <f t="shared" si="39"/>
        <v>IH  094</v>
      </c>
      <c r="K92" t="str">
        <f t="shared" si="40"/>
        <v xml:space="preserve">MILWAUKEE                     </v>
      </c>
      <c r="L92" t="str">
        <f>CLEAN("I-94 EAST WEST, WEST LEG           ")</f>
        <v xml:space="preserve">I-94 EAST WEST, WEST LEG           </v>
      </c>
      <c r="M92" t="str">
        <f>CLEAN("70TH STREET TO ZABLOCKI DRIVE      ")</f>
        <v xml:space="preserve">70TH STREET TO ZABLOCKI DRIVE      </v>
      </c>
      <c r="N92">
        <v>0.91</v>
      </c>
      <c r="O92" t="str">
        <f t="shared" si="41"/>
        <v xml:space="preserve">          </v>
      </c>
      <c r="P92" t="str">
        <f t="shared" si="42"/>
        <v xml:space="preserve">SE FREEWAY - EAST WEST                                                                              </v>
      </c>
    </row>
    <row r="93" spans="1:16" x14ac:dyDescent="0.25">
      <c r="A93" t="str">
        <f t="shared" si="26"/>
        <v>10</v>
      </c>
      <c r="B93" t="str">
        <f t="shared" si="36"/>
        <v>22</v>
      </c>
      <c r="C93" s="1">
        <v>45909</v>
      </c>
      <c r="D93" t="str">
        <f>CLEAN("1060-27-74")</f>
        <v>1060-27-74</v>
      </c>
      <c r="E93" t="str">
        <f t="shared" si="37"/>
        <v>301EW</v>
      </c>
      <c r="F93" t="str">
        <f>CLEAN("$50,000,000 - $59,999,999")</f>
        <v>$50,000,000 - $59,999,999</v>
      </c>
      <c r="G93" t="str">
        <f>CLEAN("LET")</f>
        <v>LET</v>
      </c>
      <c r="H93" t="str">
        <f>CLEAN("LET CONSTRUCTION         ")</f>
        <v xml:space="preserve">LET CONSTRUCTION         </v>
      </c>
      <c r="I93" t="str">
        <f>CLEAN("CONST/RECST                        ")</f>
        <v xml:space="preserve">CONST/RECST                        </v>
      </c>
      <c r="J93" t="str">
        <f t="shared" si="39"/>
        <v>IH  094</v>
      </c>
      <c r="K93" t="str">
        <f t="shared" si="40"/>
        <v xml:space="preserve">MILWAUKEE                     </v>
      </c>
      <c r="L93" t="str">
        <f>CLEAN("I-94 EAST WEST, EARLY EAST LEG     ")</f>
        <v xml:space="preserve">I-94 EAST WEST, EARLY EAST LEG     </v>
      </c>
      <c r="M93" t="str">
        <f>CLEAN("30TH STREET TO 25TH STREET         ")</f>
        <v xml:space="preserve">30TH STREET TO 25TH STREET         </v>
      </c>
      <c r="N93">
        <v>0.27600000000000002</v>
      </c>
      <c r="O93" t="str">
        <f t="shared" si="41"/>
        <v xml:space="preserve">          </v>
      </c>
      <c r="P93" t="str">
        <f t="shared" si="42"/>
        <v xml:space="preserve">SE FREEWAY - EAST WEST                                                                              </v>
      </c>
    </row>
    <row r="94" spans="1:16" x14ac:dyDescent="0.25">
      <c r="A94" t="str">
        <f t="shared" si="26"/>
        <v>10</v>
      </c>
      <c r="B94" t="str">
        <f t="shared" si="36"/>
        <v>22</v>
      </c>
      <c r="C94" s="1">
        <v>45925</v>
      </c>
      <c r="D94" t="str">
        <f>CLEAN("1060-27-90")</f>
        <v>1060-27-90</v>
      </c>
      <c r="E94" t="str">
        <f t="shared" si="37"/>
        <v>301EW</v>
      </c>
      <c r="F94" t="str">
        <f>CLEAN("$1,000,000 - $1,999,999  ")</f>
        <v xml:space="preserve">$1,000,000 - $1,999,999  </v>
      </c>
      <c r="G94" t="str">
        <f>CLEAN("MIS")</f>
        <v>MIS</v>
      </c>
      <c r="H94" t="str">
        <f t="shared" ref="H94:H106" si="43">CLEAN("NONLET CONSTR/REAL ESTATE")</f>
        <v>NONLET CONSTR/REAL ESTATE</v>
      </c>
      <c r="I94" t="str">
        <f>CLEAN("CONST/AGENCIES                     ")</f>
        <v xml:space="preserve">CONST/AGENCIES                     </v>
      </c>
      <c r="J94" t="str">
        <f t="shared" si="39"/>
        <v>IH  094</v>
      </c>
      <c r="K94" t="str">
        <f t="shared" si="40"/>
        <v xml:space="preserve">MILWAUKEE                     </v>
      </c>
      <c r="L94" t="str">
        <f>CLEAN("I-94 EAST WEST, PUBLIC WORKS       ")</f>
        <v xml:space="preserve">I-94 EAST WEST, PUBLIC WORKS       </v>
      </c>
      <c r="M94" t="str">
        <f t="shared" ref="M94:M101" si="44">CLEAN("70TH STREET TO 16TH STREET         ")</f>
        <v xml:space="preserve">70TH STREET TO 16TH STREET         </v>
      </c>
      <c r="N94">
        <v>3.51</v>
      </c>
      <c r="O94" t="str">
        <f t="shared" si="41"/>
        <v xml:space="preserve">          </v>
      </c>
      <c r="P94" t="str">
        <f t="shared" si="42"/>
        <v xml:space="preserve">SE FREEWAY - EAST WEST                                                                              </v>
      </c>
    </row>
    <row r="95" spans="1:16" x14ac:dyDescent="0.25">
      <c r="A95" t="str">
        <f t="shared" si="26"/>
        <v>10</v>
      </c>
      <c r="B95" t="str">
        <f t="shared" si="36"/>
        <v>22</v>
      </c>
      <c r="C95" s="1">
        <v>45925</v>
      </c>
      <c r="D95" t="str">
        <f>CLEAN("1060-27-91")</f>
        <v>1060-27-91</v>
      </c>
      <c r="E95" t="str">
        <f t="shared" si="37"/>
        <v>301EW</v>
      </c>
      <c r="F95" t="str">
        <f>CLEAN("$100,000-$249,999        ")</f>
        <v xml:space="preserve">$100,000-$249,999        </v>
      </c>
      <c r="G95" t="str">
        <f>CLEAN("MIS")</f>
        <v>MIS</v>
      </c>
      <c r="H95" t="str">
        <f t="shared" si="43"/>
        <v>NONLET CONSTR/REAL ESTATE</v>
      </c>
      <c r="I95" t="str">
        <f>CLEAN("CONST/AGENCIES                     ")</f>
        <v xml:space="preserve">CONST/AGENCIES                     </v>
      </c>
      <c r="J95" t="str">
        <f t="shared" si="39"/>
        <v>IH  094</v>
      </c>
      <c r="K95" t="str">
        <f t="shared" si="40"/>
        <v xml:space="preserve">MILWAUKEE                     </v>
      </c>
      <c r="L95" t="str">
        <f>CLEAN("I-94 EAST WEST, POLICE DEPARTMENT  ")</f>
        <v xml:space="preserve">I-94 EAST WEST, POLICE DEPARTMENT  </v>
      </c>
      <c r="M95" t="str">
        <f t="shared" si="44"/>
        <v xml:space="preserve">70TH STREET TO 16TH STREET         </v>
      </c>
      <c r="N95">
        <v>3.51</v>
      </c>
      <c r="O95" t="str">
        <f t="shared" si="41"/>
        <v xml:space="preserve">          </v>
      </c>
      <c r="P95" t="str">
        <f t="shared" si="42"/>
        <v xml:space="preserve">SE FREEWAY - EAST WEST                                                                              </v>
      </c>
    </row>
    <row r="96" spans="1:16" x14ac:dyDescent="0.25">
      <c r="A96" t="str">
        <f t="shared" si="26"/>
        <v>10</v>
      </c>
      <c r="B96" t="str">
        <f t="shared" si="36"/>
        <v>22</v>
      </c>
      <c r="C96" s="1">
        <v>45925</v>
      </c>
      <c r="D96" t="str">
        <f>CLEAN("1060-27-93")</f>
        <v>1060-27-93</v>
      </c>
      <c r="E96" t="str">
        <f t="shared" si="37"/>
        <v>301EW</v>
      </c>
      <c r="F96" t="str">
        <f>CLEAN("$500,000 - $749,999      ")</f>
        <v xml:space="preserve">$500,000 - $749,999      </v>
      </c>
      <c r="G96" t="str">
        <f>CLEAN("MIS")</f>
        <v>MIS</v>
      </c>
      <c r="H96" t="str">
        <f t="shared" si="43"/>
        <v>NONLET CONSTR/REAL ESTATE</v>
      </c>
      <c r="I96" t="str">
        <f>CLEAN("CONST/SERVICE PATROLS/TRAFFIC MIT  ")</f>
        <v xml:space="preserve">CONST/SERVICE PATROLS/TRAFFIC MIT  </v>
      </c>
      <c r="J96" t="str">
        <f t="shared" si="39"/>
        <v>IH  094</v>
      </c>
      <c r="K96" t="str">
        <f t="shared" si="40"/>
        <v xml:space="preserve">MILWAUKEE                     </v>
      </c>
      <c r="L96" t="str">
        <f>CLEAN("I-94 EAST WEST, FRWY SERVICE TEAM  ")</f>
        <v xml:space="preserve">I-94 EAST WEST, FRWY SERVICE TEAM  </v>
      </c>
      <c r="M96" t="str">
        <f t="shared" si="44"/>
        <v xml:space="preserve">70TH STREET TO 16TH STREET         </v>
      </c>
      <c r="N96">
        <v>3.51</v>
      </c>
      <c r="O96" t="str">
        <f t="shared" si="41"/>
        <v xml:space="preserve">          </v>
      </c>
      <c r="P96" t="str">
        <f t="shared" si="42"/>
        <v xml:space="preserve">SE FREEWAY - EAST WEST                                                                              </v>
      </c>
    </row>
    <row r="97" spans="1:16" x14ac:dyDescent="0.25">
      <c r="A97" t="str">
        <f t="shared" si="26"/>
        <v>10</v>
      </c>
      <c r="B97" t="str">
        <f t="shared" si="36"/>
        <v>22</v>
      </c>
      <c r="C97" s="1">
        <v>45925</v>
      </c>
      <c r="D97" t="str">
        <f>CLEAN("1060-27-94")</f>
        <v>1060-27-94</v>
      </c>
      <c r="E97" t="str">
        <f t="shared" si="37"/>
        <v>301EW</v>
      </c>
      <c r="F97" t="str">
        <f>CLEAN("$500,000 - $749,999      ")</f>
        <v xml:space="preserve">$500,000 - $749,999      </v>
      </c>
      <c r="G97" t="str">
        <f>CLEAN("MIS")</f>
        <v>MIS</v>
      </c>
      <c r="H97" t="str">
        <f t="shared" si="43"/>
        <v>NONLET CONSTR/REAL ESTATE</v>
      </c>
      <c r="I97" t="str">
        <f>CLEAN("MITIGATION 1060-27-71/72/73/74/75  ")</f>
        <v xml:space="preserve">MITIGATION 1060-27-71/72/73/74/75  </v>
      </c>
      <c r="J97" t="str">
        <f t="shared" si="39"/>
        <v>IH  094</v>
      </c>
      <c r="K97" t="str">
        <f t="shared" si="40"/>
        <v xml:space="preserve">MILWAUKEE                     </v>
      </c>
      <c r="L97" t="str">
        <f>CLEAN("I-94 EW, MILWAUKEE COUNTY SHERIFF  ")</f>
        <v xml:space="preserve">I-94 EW, MILWAUKEE COUNTY SHERIFF  </v>
      </c>
      <c r="M97" t="str">
        <f t="shared" si="44"/>
        <v xml:space="preserve">70TH STREET TO 16TH STREET         </v>
      </c>
      <c r="N97">
        <v>3.4809999999999999</v>
      </c>
      <c r="O97" t="str">
        <f t="shared" si="41"/>
        <v xml:space="preserve">          </v>
      </c>
      <c r="P97" t="str">
        <f t="shared" si="42"/>
        <v xml:space="preserve">SE FREEWAY - EAST WEST                                                                              </v>
      </c>
    </row>
    <row r="98" spans="1:16" x14ac:dyDescent="0.25">
      <c r="A98" t="str">
        <f t="shared" si="26"/>
        <v>10</v>
      </c>
      <c r="B98" t="str">
        <f t="shared" si="36"/>
        <v>22</v>
      </c>
      <c r="C98" s="1">
        <v>46228</v>
      </c>
      <c r="D98" t="str">
        <f>CLEAN("1060-27-94")</f>
        <v>1060-27-94</v>
      </c>
      <c r="E98" t="str">
        <f t="shared" si="37"/>
        <v>301EW</v>
      </c>
      <c r="F98" t="str">
        <f>CLEAN("$500,000 - $749,999      ")</f>
        <v xml:space="preserve">$500,000 - $749,999      </v>
      </c>
      <c r="G98" t="str">
        <f>CLEAN("MIS")</f>
        <v>MIS</v>
      </c>
      <c r="H98" t="str">
        <f t="shared" si="43"/>
        <v>NONLET CONSTR/REAL ESTATE</v>
      </c>
      <c r="I98" t="str">
        <f>CLEAN("MITIGATION 1060-27-71/72/73/74/75  ")</f>
        <v xml:space="preserve">MITIGATION 1060-27-71/72/73/74/75  </v>
      </c>
      <c r="J98" t="str">
        <f t="shared" si="39"/>
        <v>IH  094</v>
      </c>
      <c r="K98" t="str">
        <f t="shared" si="40"/>
        <v xml:space="preserve">MILWAUKEE                     </v>
      </c>
      <c r="L98" t="str">
        <f>CLEAN("I-94 EW, MILWAUKEE COUNTY SHERIFF  ")</f>
        <v xml:space="preserve">I-94 EW, MILWAUKEE COUNTY SHERIFF  </v>
      </c>
      <c r="M98" t="str">
        <f t="shared" si="44"/>
        <v xml:space="preserve">70TH STREET TO 16TH STREET         </v>
      </c>
      <c r="N98">
        <v>3.4809999999999999</v>
      </c>
      <c r="O98" t="str">
        <f t="shared" si="41"/>
        <v xml:space="preserve">          </v>
      </c>
      <c r="P98" t="str">
        <f t="shared" si="42"/>
        <v xml:space="preserve">SE FREEWAY - EAST WEST                                                                              </v>
      </c>
    </row>
    <row r="99" spans="1:16" x14ac:dyDescent="0.25">
      <c r="A99" t="str">
        <f t="shared" si="26"/>
        <v>10</v>
      </c>
      <c r="B99" t="str">
        <f t="shared" si="36"/>
        <v>22</v>
      </c>
      <c r="C99" s="1">
        <v>45894</v>
      </c>
      <c r="D99" t="str">
        <f>CLEAN("1060-27-95")</f>
        <v>1060-27-95</v>
      </c>
      <c r="E99" t="str">
        <f t="shared" si="37"/>
        <v>301EW</v>
      </c>
      <c r="F99" t="str">
        <f>CLEAN("$100,000-$249,999        ")</f>
        <v xml:space="preserve">$100,000-$249,999        </v>
      </c>
      <c r="G99" t="str">
        <f>CLEAN("SFA")</f>
        <v>SFA</v>
      </c>
      <c r="H99" t="str">
        <f t="shared" si="43"/>
        <v>NONLET CONSTR/REAL ESTATE</v>
      </c>
      <c r="I99" t="str">
        <f>CLEAN("MITIGATION 1060-27-71/72/73/74/75  ")</f>
        <v xml:space="preserve">MITIGATION 1060-27-71/72/73/74/75  </v>
      </c>
      <c r="J99" t="str">
        <f t="shared" si="39"/>
        <v>IH  094</v>
      </c>
      <c r="K99" t="str">
        <f t="shared" si="40"/>
        <v xml:space="preserve">MILWAUKEE                     </v>
      </c>
      <c r="L99" t="str">
        <f>CLEAN("I-94 EW, MILWAUKEE COUNTY SHERIFF  ")</f>
        <v xml:space="preserve">I-94 EW, MILWAUKEE COUNTY SHERIFF  </v>
      </c>
      <c r="M99" t="str">
        <f t="shared" si="44"/>
        <v xml:space="preserve">70TH STREET TO 16TH STREET         </v>
      </c>
      <c r="N99">
        <v>3.4809999999999999</v>
      </c>
      <c r="O99" t="str">
        <f t="shared" si="41"/>
        <v xml:space="preserve">          </v>
      </c>
      <c r="P99" t="str">
        <f t="shared" si="42"/>
        <v xml:space="preserve">SE FREEWAY - EAST WEST                                                                              </v>
      </c>
    </row>
    <row r="100" spans="1:16" x14ac:dyDescent="0.25">
      <c r="A100" t="str">
        <f t="shared" si="26"/>
        <v>10</v>
      </c>
      <c r="B100" t="str">
        <f t="shared" si="36"/>
        <v>22</v>
      </c>
      <c r="C100" s="1">
        <v>45925</v>
      </c>
      <c r="D100" t="str">
        <f>CLEAN("1060-27-96")</f>
        <v>1060-27-96</v>
      </c>
      <c r="E100" t="str">
        <f t="shared" si="37"/>
        <v>301EW</v>
      </c>
      <c r="F100" t="str">
        <f>CLEAN("$5,000,000 - $5,999,999  ")</f>
        <v xml:space="preserve">$5,000,000 - $5,999,999  </v>
      </c>
      <c r="G100" t="str">
        <f>CLEAN("MIS")</f>
        <v>MIS</v>
      </c>
      <c r="H100" t="str">
        <f t="shared" si="43"/>
        <v>NONLET CONSTR/REAL ESTATE</v>
      </c>
      <c r="I100" t="str">
        <f>CLEAN("TRNST MITIG 1060-27-71/72/73/74/75 ")</f>
        <v xml:space="preserve">TRNST MITIG 1060-27-71/72/73/74/75 </v>
      </c>
      <c r="J100" t="str">
        <f t="shared" si="39"/>
        <v>IH  094</v>
      </c>
      <c r="K100" t="str">
        <f t="shared" si="40"/>
        <v xml:space="preserve">MILWAUKEE                     </v>
      </c>
      <c r="L100" t="str">
        <f>CLEAN("I-94 EAST WEST, TRANSIT MITIGATION ")</f>
        <v xml:space="preserve">I-94 EAST WEST, TRANSIT MITIGATION </v>
      </c>
      <c r="M100" t="str">
        <f t="shared" si="44"/>
        <v xml:space="preserve">70TH STREET TO 16TH STREET         </v>
      </c>
      <c r="N100">
        <v>3.4809999999999999</v>
      </c>
      <c r="O100" t="str">
        <f t="shared" si="41"/>
        <v xml:space="preserve">          </v>
      </c>
      <c r="P100" t="str">
        <f t="shared" si="42"/>
        <v xml:space="preserve">SE FREEWAY - EAST WEST                                                                              </v>
      </c>
    </row>
    <row r="101" spans="1:16" x14ac:dyDescent="0.25">
      <c r="A101" t="str">
        <f t="shared" si="26"/>
        <v>10</v>
      </c>
      <c r="B101" t="str">
        <f t="shared" si="36"/>
        <v>22</v>
      </c>
      <c r="C101" s="1">
        <v>46228</v>
      </c>
      <c r="D101" t="str">
        <f>CLEAN("1060-27-96")</f>
        <v>1060-27-96</v>
      </c>
      <c r="E101" t="str">
        <f t="shared" si="37"/>
        <v>301EW</v>
      </c>
      <c r="F101" t="str">
        <f>CLEAN("$5,000,000 - $5,999,999  ")</f>
        <v xml:space="preserve">$5,000,000 - $5,999,999  </v>
      </c>
      <c r="G101" t="str">
        <f>CLEAN("MIS")</f>
        <v>MIS</v>
      </c>
      <c r="H101" t="str">
        <f t="shared" si="43"/>
        <v>NONLET CONSTR/REAL ESTATE</v>
      </c>
      <c r="I101" t="str">
        <f>CLEAN("TRNST MITIG 1060-27-71/72/73/74/75 ")</f>
        <v xml:space="preserve">TRNST MITIG 1060-27-71/72/73/74/75 </v>
      </c>
      <c r="J101" t="str">
        <f t="shared" si="39"/>
        <v>IH  094</v>
      </c>
      <c r="K101" t="str">
        <f t="shared" si="40"/>
        <v xml:space="preserve">MILWAUKEE                     </v>
      </c>
      <c r="L101" t="str">
        <f>CLEAN("I-94 EAST WEST, TRANSIT MITIGATION ")</f>
        <v xml:space="preserve">I-94 EAST WEST, TRANSIT MITIGATION </v>
      </c>
      <c r="M101" t="str">
        <f t="shared" si="44"/>
        <v xml:space="preserve">70TH STREET TO 16TH STREET         </v>
      </c>
      <c r="N101">
        <v>3.4809999999999999</v>
      </c>
      <c r="O101" t="str">
        <f t="shared" si="41"/>
        <v xml:space="preserve">          </v>
      </c>
      <c r="P101" t="str">
        <f t="shared" si="42"/>
        <v xml:space="preserve">SE FREEWAY - EAST WEST                                                                              </v>
      </c>
    </row>
    <row r="102" spans="1:16" x14ac:dyDescent="0.25">
      <c r="A102" t="str">
        <f t="shared" si="26"/>
        <v>10</v>
      </c>
      <c r="B102" t="str">
        <f t="shared" si="36"/>
        <v>22</v>
      </c>
      <c r="C102" s="1">
        <v>45925</v>
      </c>
      <c r="D102" t="str">
        <f>CLEAN("1060-27-98")</f>
        <v>1060-27-98</v>
      </c>
      <c r="E102" t="str">
        <f t="shared" si="37"/>
        <v>301EW</v>
      </c>
      <c r="F102" t="str">
        <f>CLEAN("$250,000 - $499,999      ")</f>
        <v xml:space="preserve">$250,000 - $499,999      </v>
      </c>
      <c r="G102" t="str">
        <f>CLEAN("MIS")</f>
        <v>MIS</v>
      </c>
      <c r="H102" t="str">
        <f t="shared" si="43"/>
        <v>NONLET CONSTR/REAL ESTATE</v>
      </c>
      <c r="I102" t="str">
        <f>CLEAN("MIS/TREE PLANTINGS                 ")</f>
        <v xml:space="preserve">MIS/TREE PLANTINGS                 </v>
      </c>
      <c r="J102" t="str">
        <f>CLEAN("OFF SYS")</f>
        <v>OFF SYS</v>
      </c>
      <c r="K102" t="str">
        <f t="shared" si="40"/>
        <v xml:space="preserve">MILWAUKEE                     </v>
      </c>
      <c r="L102" t="str">
        <f>CLEAN("I-94 EAST WEST, MMSD TREE PLANTINGS")</f>
        <v>I-94 EAST WEST, MMSD TREE PLANTINGS</v>
      </c>
      <c r="M102" t="str">
        <f>CLEAN("HONEY CR AND MENOMONEE R WATERSHEDS")</f>
        <v>HONEY CR AND MENOMONEE R WATERSHEDS</v>
      </c>
      <c r="N102">
        <v>3.6999999999999998E-2</v>
      </c>
      <c r="O102" t="str">
        <f t="shared" si="41"/>
        <v xml:space="preserve">          </v>
      </c>
      <c r="P102" t="str">
        <f t="shared" si="42"/>
        <v xml:space="preserve">SE FREEWAY - EAST WEST                                                                              </v>
      </c>
    </row>
    <row r="103" spans="1:16" x14ac:dyDescent="0.25">
      <c r="A103" t="str">
        <f t="shared" si="26"/>
        <v>10</v>
      </c>
      <c r="B103" t="str">
        <f t="shared" si="36"/>
        <v>22</v>
      </c>
      <c r="C103" s="1">
        <v>45986</v>
      </c>
      <c r="D103" t="str">
        <f>CLEAN("1060-28-91")</f>
        <v>1060-28-91</v>
      </c>
      <c r="E103" t="str">
        <f t="shared" si="37"/>
        <v>301EW</v>
      </c>
      <c r="F103" t="str">
        <f>CLEAN("$100,000-$249,999        ")</f>
        <v xml:space="preserve">$100,000-$249,999        </v>
      </c>
      <c r="G103" t="str">
        <f>CLEAN("LFA")</f>
        <v>LFA</v>
      </c>
      <c r="H103" t="str">
        <f t="shared" si="43"/>
        <v>NONLET CONSTR/REAL ESTATE</v>
      </c>
      <c r="I103" t="str">
        <f>CLEAN("CONST/TRAFFIC SIGNALS/LFA          ")</f>
        <v xml:space="preserve">CONST/TRAFFIC SIGNALS/LFA          </v>
      </c>
      <c r="J103" t="str">
        <f>CLEAN("IH  094")</f>
        <v>IH  094</v>
      </c>
      <c r="K103" t="str">
        <f t="shared" si="40"/>
        <v xml:space="preserve">MILWAUKEE                     </v>
      </c>
      <c r="L103" t="str">
        <f>CLEAN("I-94 EAST WEST, WEST LEG           ")</f>
        <v xml:space="preserve">I-94 EAST WEST, WEST LEG           </v>
      </c>
      <c r="M103" t="str">
        <f>CLEAN("70TH STREET TO ZABLOCKI DRIVE      ")</f>
        <v xml:space="preserve">70TH STREET TO ZABLOCKI DRIVE      </v>
      </c>
      <c r="N103">
        <v>1.3540000000000001</v>
      </c>
      <c r="O103" t="str">
        <f t="shared" si="41"/>
        <v xml:space="preserve">          </v>
      </c>
      <c r="P103" t="str">
        <f t="shared" si="42"/>
        <v xml:space="preserve">SE FREEWAY - EAST WEST                                                                              </v>
      </c>
    </row>
    <row r="104" spans="1:16" x14ac:dyDescent="0.25">
      <c r="A104" t="str">
        <f t="shared" si="26"/>
        <v>10</v>
      </c>
      <c r="B104" t="str">
        <f t="shared" si="36"/>
        <v>22</v>
      </c>
      <c r="C104" s="1">
        <v>45986</v>
      </c>
      <c r="D104" t="str">
        <f>CLEAN("1060-28-92")</f>
        <v>1060-28-92</v>
      </c>
      <c r="E104" t="str">
        <f t="shared" si="37"/>
        <v>301EW</v>
      </c>
      <c r="F104" t="str">
        <f>CLEAN("$100,000-$249,999        ")</f>
        <v xml:space="preserve">$100,000-$249,999        </v>
      </c>
      <c r="G104" t="str">
        <f>CLEAN("LFA")</f>
        <v>LFA</v>
      </c>
      <c r="H104" t="str">
        <f t="shared" si="43"/>
        <v>NONLET CONSTR/REAL ESTATE</v>
      </c>
      <c r="I104" t="str">
        <f>CLEAN("CONST/LIGHTING/LFA                 ")</f>
        <v xml:space="preserve">CONST/LIGHTING/LFA                 </v>
      </c>
      <c r="J104" t="str">
        <f>CLEAN("IH  094")</f>
        <v>IH  094</v>
      </c>
      <c r="K104" t="str">
        <f t="shared" si="40"/>
        <v xml:space="preserve">MILWAUKEE                     </v>
      </c>
      <c r="L104" t="str">
        <f>CLEAN("I-94 EAST WEST, WEST LEG           ")</f>
        <v xml:space="preserve">I-94 EAST WEST, WEST LEG           </v>
      </c>
      <c r="M104" t="str">
        <f>CLEAN("70TH STREET TO ZABLOCKI DRIVE      ")</f>
        <v xml:space="preserve">70TH STREET TO ZABLOCKI DRIVE      </v>
      </c>
      <c r="N104">
        <v>1.3540000000000001</v>
      </c>
      <c r="O104" t="str">
        <f t="shared" si="41"/>
        <v xml:space="preserve">          </v>
      </c>
      <c r="P104" t="str">
        <f t="shared" si="42"/>
        <v xml:space="preserve">SE FREEWAY - EAST WEST                                                                              </v>
      </c>
    </row>
    <row r="105" spans="1:16" x14ac:dyDescent="0.25">
      <c r="A105" t="str">
        <f t="shared" si="26"/>
        <v>10</v>
      </c>
      <c r="B105" t="str">
        <f t="shared" si="36"/>
        <v>22</v>
      </c>
      <c r="C105" s="1">
        <v>45986</v>
      </c>
      <c r="D105" t="str">
        <f>CLEAN("1060-28-93")</f>
        <v>1060-28-93</v>
      </c>
      <c r="E105" t="str">
        <f t="shared" si="37"/>
        <v>301EW</v>
      </c>
      <c r="F105" t="str">
        <f>CLEAN("$0 - $99,999             ")</f>
        <v xml:space="preserve">$0 - $99,999             </v>
      </c>
      <c r="G105" t="str">
        <f>CLEAN("LFA")</f>
        <v>LFA</v>
      </c>
      <c r="H105" t="str">
        <f t="shared" si="43"/>
        <v>NONLET CONSTR/REAL ESTATE</v>
      </c>
      <c r="I105" t="str">
        <f>CLEAN("CONST/TRAFFIC SIGNALS/LFA          ")</f>
        <v xml:space="preserve">CONST/TRAFFIC SIGNALS/LFA          </v>
      </c>
      <c r="J105" t="str">
        <f>CLEAN("IH  094")</f>
        <v>IH  094</v>
      </c>
      <c r="K105" t="str">
        <f t="shared" si="40"/>
        <v xml:space="preserve">MILWAUKEE                     </v>
      </c>
      <c r="L105" t="str">
        <f>CLEAN("I-94 EAST WEST, EAST LEG           ")</f>
        <v xml:space="preserve">I-94 EAST WEST, EAST LEG           </v>
      </c>
      <c r="M105" t="str">
        <f>CLEAN("35TH STREET TO 16TH STREET         ")</f>
        <v xml:space="preserve">35TH STREET TO 16TH STREET         </v>
      </c>
      <c r="N105">
        <v>1.32</v>
      </c>
      <c r="O105" t="str">
        <f t="shared" si="41"/>
        <v xml:space="preserve">          </v>
      </c>
      <c r="P105" t="str">
        <f t="shared" si="42"/>
        <v xml:space="preserve">SE FREEWAY - EAST WEST                                                                              </v>
      </c>
    </row>
    <row r="106" spans="1:16" x14ac:dyDescent="0.25">
      <c r="A106" t="str">
        <f t="shared" si="26"/>
        <v>10</v>
      </c>
      <c r="B106" t="str">
        <f t="shared" si="36"/>
        <v>22</v>
      </c>
      <c r="C106" s="1">
        <v>45986</v>
      </c>
      <c r="D106" t="str">
        <f>CLEAN("1060-28-94")</f>
        <v>1060-28-94</v>
      </c>
      <c r="E106" t="str">
        <f t="shared" si="37"/>
        <v>301EW</v>
      </c>
      <c r="F106" t="str">
        <f>CLEAN("$0 - $99,999             ")</f>
        <v xml:space="preserve">$0 - $99,999             </v>
      </c>
      <c r="G106" t="str">
        <f>CLEAN("LFA")</f>
        <v>LFA</v>
      </c>
      <c r="H106" t="str">
        <f t="shared" si="43"/>
        <v>NONLET CONSTR/REAL ESTATE</v>
      </c>
      <c r="I106" t="str">
        <f>CLEAN("CONST/LIGHTING/LFA                 ")</f>
        <v xml:space="preserve">CONST/LIGHTING/LFA                 </v>
      </c>
      <c r="J106" t="str">
        <f>CLEAN("IH  094")</f>
        <v>IH  094</v>
      </c>
      <c r="K106" t="str">
        <f t="shared" si="40"/>
        <v xml:space="preserve">MILWAUKEE                     </v>
      </c>
      <c r="L106" t="str">
        <f>CLEAN("I-94 EAST WEST, EAST LEG           ")</f>
        <v xml:space="preserve">I-94 EAST WEST, EAST LEG           </v>
      </c>
      <c r="M106" t="str">
        <f>CLEAN("35TH STREET TO 16TH STREET         ")</f>
        <v xml:space="preserve">35TH STREET TO 16TH STREET         </v>
      </c>
      <c r="N106">
        <v>1.32</v>
      </c>
      <c r="O106" t="str">
        <f t="shared" si="41"/>
        <v xml:space="preserve">          </v>
      </c>
      <c r="P106" t="str">
        <f t="shared" si="42"/>
        <v xml:space="preserve">SE FREEWAY - EAST WEST                                                                              </v>
      </c>
    </row>
    <row r="107" spans="1:16" x14ac:dyDescent="0.25">
      <c r="A107" t="str">
        <f t="shared" si="26"/>
        <v>10</v>
      </c>
      <c r="B107" t="str">
        <f t="shared" si="36"/>
        <v>22</v>
      </c>
      <c r="C107" s="1">
        <v>46091</v>
      </c>
      <c r="D107" t="str">
        <f>CLEAN("1060-48-70")</f>
        <v>1060-48-70</v>
      </c>
      <c r="E107" t="str">
        <f>CLEAN("303  ")</f>
        <v xml:space="preserve">303  </v>
      </c>
      <c r="F107" t="str">
        <f>CLEAN("$11,000,000 - $11,999,999")</f>
        <v>$11,000,000 - $11,999,999</v>
      </c>
      <c r="G107" t="str">
        <f>CLEAN("LET")</f>
        <v>LET</v>
      </c>
      <c r="H107" t="str">
        <f>CLEAN("LET CONSTRUCTION         ")</f>
        <v xml:space="preserve">LET CONSTRUCTION         </v>
      </c>
      <c r="I107" t="str">
        <f>CLEAN("CONST/BRIDGE DECK OVERLAY          ")</f>
        <v xml:space="preserve">CONST/BRIDGE DECK OVERLAY          </v>
      </c>
      <c r="J107" t="str">
        <f>CLEAN("IH  794")</f>
        <v>IH  794</v>
      </c>
      <c r="K107" t="str">
        <f t="shared" si="40"/>
        <v xml:space="preserve">MILWAUKEE                     </v>
      </c>
      <c r="L107" t="str">
        <f>CLEAN("IH 794 EAST WEST FREEWAY           ")</f>
        <v xml:space="preserve">IH 794 EAST WEST FREEWAY           </v>
      </c>
      <c r="M107" t="str">
        <f>CLEAN("MARQUETTE IC TO LAKE IC            ")</f>
        <v xml:space="preserve">MARQUETTE IC TO LAKE IC            </v>
      </c>
      <c r="N107">
        <v>0.59</v>
      </c>
      <c r="O107" t="str">
        <f>CLEAN("1060-48-71")</f>
        <v>1060-48-71</v>
      </c>
      <c r="P107" t="str">
        <f>CLEAN("BACKBONE                                                                                            ")</f>
        <v xml:space="preserve">BACKBONE                                                                                            </v>
      </c>
    </row>
    <row r="108" spans="1:16" x14ac:dyDescent="0.25">
      <c r="A108" t="str">
        <f t="shared" si="26"/>
        <v>10</v>
      </c>
      <c r="B108" t="str">
        <f t="shared" si="36"/>
        <v>22</v>
      </c>
      <c r="C108" s="1">
        <v>46091</v>
      </c>
      <c r="D108" t="str">
        <f>CLEAN("1060-48-70")</f>
        <v>1060-48-70</v>
      </c>
      <c r="E108" t="str">
        <f>CLEAN("303  ")</f>
        <v xml:space="preserve">303  </v>
      </c>
      <c r="F108" t="str">
        <f>CLEAN("$11,000,000 - $11,999,999")</f>
        <v>$11,000,000 - $11,999,999</v>
      </c>
      <c r="G108" t="str">
        <f>CLEAN("LET")</f>
        <v>LET</v>
      </c>
      <c r="H108" t="str">
        <f>CLEAN("LET CONSTRUCTION         ")</f>
        <v xml:space="preserve">LET CONSTRUCTION         </v>
      </c>
      <c r="I108" t="str">
        <f>CLEAN("CONST/BRIDGE DECK OVERLAY          ")</f>
        <v xml:space="preserve">CONST/BRIDGE DECK OVERLAY          </v>
      </c>
      <c r="J108" t="str">
        <f>CLEAN("IH  794")</f>
        <v>IH  794</v>
      </c>
      <c r="K108" t="str">
        <f t="shared" si="40"/>
        <v xml:space="preserve">MILWAUKEE                     </v>
      </c>
      <c r="L108" t="str">
        <f>CLEAN("IH 794 EAST WEST FREEWAY           ")</f>
        <v xml:space="preserve">IH 794 EAST WEST FREEWAY           </v>
      </c>
      <c r="M108" t="str">
        <f>CLEAN("MARQUETTE IC TO LAKE IC            ")</f>
        <v xml:space="preserve">MARQUETTE IC TO LAKE IC            </v>
      </c>
      <c r="N108">
        <v>0.59</v>
      </c>
      <c r="O108" t="str">
        <f>CLEAN("1060-48-71")</f>
        <v>1060-48-71</v>
      </c>
      <c r="P108" t="str">
        <f>CLEAN("SAFETY (REGULAR HSIP)                                                                               ")</f>
        <v xml:space="preserve">SAFETY (REGULAR HSIP)                                                                               </v>
      </c>
    </row>
    <row r="109" spans="1:16" x14ac:dyDescent="0.25">
      <c r="A109" t="str">
        <f t="shared" si="26"/>
        <v>10</v>
      </c>
      <c r="B109" t="str">
        <f t="shared" si="36"/>
        <v>22</v>
      </c>
      <c r="C109" s="1">
        <v>46091</v>
      </c>
      <c r="D109" t="str">
        <f>CLEAN("1060-48-71")</f>
        <v>1060-48-71</v>
      </c>
      <c r="E109" t="str">
        <f>CLEAN("305  ")</f>
        <v xml:space="preserve">305  </v>
      </c>
      <c r="F109" t="str">
        <f>CLEAN("$100,000-$249,999        ")</f>
        <v xml:space="preserve">$100,000-$249,999        </v>
      </c>
      <c r="G109" t="str">
        <f>CLEAN("LET")</f>
        <v>LET</v>
      </c>
      <c r="H109" t="str">
        <f>CLEAN("LET CONSTRUCTION         ")</f>
        <v xml:space="preserve">LET CONSTRUCTION         </v>
      </c>
      <c r="I109" t="str">
        <f>CLEAN("CONST/ACCIDENT CLM/077-12-98/BRRH  ")</f>
        <v xml:space="preserve">CONST/ACCIDENT CLM/077-12-98/BRRH  </v>
      </c>
      <c r="J109" t="str">
        <f>CLEAN("OFF SYS")</f>
        <v>OFF SYS</v>
      </c>
      <c r="K109" t="str">
        <f t="shared" si="40"/>
        <v xml:space="preserve">MILWAUKEE                     </v>
      </c>
      <c r="L109" t="str">
        <f>CLEAN("IH 43 SB-IH 94 WB RAMP             ")</f>
        <v xml:space="preserve">IH 43 SB-IH 94 WB RAMP             </v>
      </c>
      <c r="M109" t="str">
        <f>CLEAN("OVER 13TH ST/TORY HILL B-40-1222   ")</f>
        <v xml:space="preserve">OVER 13TH ST/TORY HILL B-40-1222   </v>
      </c>
      <c r="N109">
        <v>0</v>
      </c>
      <c r="O109" t="str">
        <f>CLEAN("1060-48-70")</f>
        <v>1060-48-70</v>
      </c>
      <c r="P109" t="str">
        <f>CLEAN("INTELLIGENT TRANSPORTATION SYSTEMS (ITS)                                                            ")</f>
        <v xml:space="preserve">INTELLIGENT TRANSPORTATION SYSTEMS (ITS)                                                            </v>
      </c>
    </row>
    <row r="110" spans="1:16" x14ac:dyDescent="0.25">
      <c r="A110" t="str">
        <f t="shared" si="26"/>
        <v>10</v>
      </c>
      <c r="B110" t="str">
        <f t="shared" si="36"/>
        <v>22</v>
      </c>
      <c r="C110" s="1">
        <v>46106</v>
      </c>
      <c r="D110" t="str">
        <f>CLEAN("1060-48-90")</f>
        <v>1060-48-90</v>
      </c>
      <c r="E110" t="str">
        <f>CLEAN("303  ")</f>
        <v xml:space="preserve">303  </v>
      </c>
      <c r="F110" t="str">
        <f>CLEAN("$750,000 - $999,999      ")</f>
        <v xml:space="preserve">$750,000 - $999,999      </v>
      </c>
      <c r="G110" t="str">
        <f>CLEAN("MIS")</f>
        <v>MIS</v>
      </c>
      <c r="H110" t="str">
        <f t="shared" ref="H110:H115" si="45">CLEAN("NONLET CONSTR/REAL ESTATE")</f>
        <v>NONLET CONSTR/REAL ESTATE</v>
      </c>
      <c r="I110" t="str">
        <f>CLEAN("TRAFFIC MITIGATION 1060-48-70      ")</f>
        <v xml:space="preserve">TRAFFIC MITIGATION 1060-48-70      </v>
      </c>
      <c r="J110" t="str">
        <f>CLEAN("IH  794")</f>
        <v>IH  794</v>
      </c>
      <c r="K110" t="str">
        <f t="shared" si="40"/>
        <v xml:space="preserve">MILWAUKEE                     </v>
      </c>
      <c r="L110" t="str">
        <f>CLEAN("IH 794 EAST WEST FREEWAY           ")</f>
        <v xml:space="preserve">IH 794 EAST WEST FREEWAY           </v>
      </c>
      <c r="M110" t="str">
        <f>CLEAN("MARQUETTE INTERCHANGE TO LAKE IC   ")</f>
        <v xml:space="preserve">MARQUETTE INTERCHANGE TO LAKE IC   </v>
      </c>
      <c r="N110">
        <v>0.62</v>
      </c>
      <c r="O110" t="str">
        <f t="shared" ref="O110:O142" si="46">CLEAN("          ")</f>
        <v xml:space="preserve">          </v>
      </c>
      <c r="P110" t="str">
        <f>CLEAN("BACKBONE                                                                                            ")</f>
        <v xml:space="preserve">BACKBONE                                                                                            </v>
      </c>
    </row>
    <row r="111" spans="1:16" x14ac:dyDescent="0.25">
      <c r="A111" t="str">
        <f t="shared" si="26"/>
        <v>10</v>
      </c>
      <c r="B111" t="str">
        <f t="shared" si="36"/>
        <v>22</v>
      </c>
      <c r="C111" s="1">
        <v>46047</v>
      </c>
      <c r="D111" t="str">
        <f>CLEAN("1060-55-20")</f>
        <v>1060-55-20</v>
      </c>
      <c r="E111" t="str">
        <f>CLEAN("303  ")</f>
        <v xml:space="preserve">303  </v>
      </c>
      <c r="F111" t="str">
        <f>CLEAN("$0 - $99,999             ")</f>
        <v xml:space="preserve">$0 - $99,999             </v>
      </c>
      <c r="G111" t="str">
        <f>CLEAN("R/E")</f>
        <v>R/E</v>
      </c>
      <c r="H111" t="str">
        <f t="shared" si="45"/>
        <v>NONLET CONSTR/REAL ESTATE</v>
      </c>
      <c r="I111" t="str">
        <f>CLEAN("RE/BRIDGE REHAB                    ")</f>
        <v xml:space="preserve">RE/BRIDGE REHAB                    </v>
      </c>
      <c r="J111" t="str">
        <f t="shared" ref="J111:J116" si="47">CLEAN("IH  094")</f>
        <v>IH  094</v>
      </c>
      <c r="K111" t="str">
        <f>CLEAN("WAUKESHA                      ")</f>
        <v xml:space="preserve">WAUKESHA                      </v>
      </c>
      <c r="L111" t="str">
        <f>CLEAN("IH 94 EAST WEST FREEWAY            ")</f>
        <v xml:space="preserve">IH 94 EAST WEST FREEWAY            </v>
      </c>
      <c r="M111" t="str">
        <f>CLEAN("CTH F BRIDGE (B-67-0140/0014)      ")</f>
        <v xml:space="preserve">CTH F BRIDGE (B-67-0140/0014)      </v>
      </c>
      <c r="N111">
        <v>5.0000000000000001E-3</v>
      </c>
      <c r="O111" t="str">
        <f t="shared" si="46"/>
        <v xml:space="preserve">          </v>
      </c>
      <c r="P111" t="str">
        <f>CLEAN("BACKBONE                                                                                            ")</f>
        <v xml:space="preserve">BACKBONE                                                                                            </v>
      </c>
    </row>
    <row r="112" spans="1:16" x14ac:dyDescent="0.25">
      <c r="A112" t="str">
        <f t="shared" si="26"/>
        <v>10</v>
      </c>
      <c r="B112" t="str">
        <f t="shared" si="36"/>
        <v>22</v>
      </c>
      <c r="C112" s="1">
        <v>46198</v>
      </c>
      <c r="D112" t="str">
        <f>CLEAN("1061-09-41")</f>
        <v>1061-09-41</v>
      </c>
      <c r="E112" t="str">
        <f>CLEAN("301EW")</f>
        <v>301EW</v>
      </c>
      <c r="F112" t="str">
        <f>CLEAN("$750,000 - $999,999      ")</f>
        <v xml:space="preserve">$750,000 - $999,999      </v>
      </c>
      <c r="G112" t="str">
        <f>CLEAN("UTL")</f>
        <v>UTL</v>
      </c>
      <c r="H112" t="str">
        <f t="shared" si="45"/>
        <v>NONLET CONSTR/REAL ESTATE</v>
      </c>
      <c r="I112" t="str">
        <f>CLEAN("EX-UTIL/LEVEL OF EFFORT/PLACEHOLDER")</f>
        <v>EX-UTIL/LEVEL OF EFFORT/PLACEHOLDER</v>
      </c>
      <c r="J112" t="str">
        <f t="shared" si="47"/>
        <v>IH  094</v>
      </c>
      <c r="K112" t="str">
        <f>CLEAN("MILWAUKEE                     ")</f>
        <v xml:space="preserve">MILWAUKEE                     </v>
      </c>
      <c r="L112" t="str">
        <f>CLEAN("I-94 EAST WEST, EARLY EAST LEG     ")</f>
        <v xml:space="preserve">I-94 EAST WEST, EARLY EAST LEG     </v>
      </c>
      <c r="M112" t="str">
        <f>CLEAN("30TH STREET TO 25TH STREET         ")</f>
        <v xml:space="preserve">30TH STREET TO 25TH STREET         </v>
      </c>
      <c r="N112">
        <v>0.39</v>
      </c>
      <c r="O112" t="str">
        <f t="shared" si="46"/>
        <v xml:space="preserve">          </v>
      </c>
      <c r="P112" t="str">
        <f>CLEAN("SE FREEWAY - EAST WEST                                                                              ")</f>
        <v xml:space="preserve">SE FREEWAY - EAST WEST                                                                              </v>
      </c>
    </row>
    <row r="113" spans="1:16" x14ac:dyDescent="0.25">
      <c r="A113" t="str">
        <f t="shared" si="26"/>
        <v>10</v>
      </c>
      <c r="B113" t="str">
        <f t="shared" si="36"/>
        <v>22</v>
      </c>
      <c r="C113" s="1">
        <v>46198</v>
      </c>
      <c r="D113" t="str">
        <f>CLEAN("1061-09-42")</f>
        <v>1061-09-42</v>
      </c>
      <c r="E113" t="str">
        <f>CLEAN("301EW")</f>
        <v>301EW</v>
      </c>
      <c r="F113" t="str">
        <f>CLEAN("$4,000,000 - $4,999,999  ")</f>
        <v xml:space="preserve">$4,000,000 - $4,999,999  </v>
      </c>
      <c r="G113" t="str">
        <f>CLEAN("UTL")</f>
        <v>UTL</v>
      </c>
      <c r="H113" t="str">
        <f t="shared" si="45"/>
        <v>NONLET CONSTR/REAL ESTATE</v>
      </c>
      <c r="I113" t="str">
        <f>CLEAN("EX-UTIL/LEVEL OF EFFORT/PLACEHOLDER")</f>
        <v>EX-UTIL/LEVEL OF EFFORT/PLACEHOLDER</v>
      </c>
      <c r="J113" t="str">
        <f t="shared" si="47"/>
        <v>IH  094</v>
      </c>
      <c r="K113" t="str">
        <f>CLEAN("MILWAUKEE                     ")</f>
        <v xml:space="preserve">MILWAUKEE                     </v>
      </c>
      <c r="L113" t="str">
        <f>CLEAN("I-94 EAST WEST, WEST LEG           ")</f>
        <v xml:space="preserve">I-94 EAST WEST, WEST LEG           </v>
      </c>
      <c r="M113" t="str">
        <f>CLEAN("70TH STREET TO ZABLOCKI DRIVE      ")</f>
        <v xml:space="preserve">70TH STREET TO ZABLOCKI DRIVE      </v>
      </c>
      <c r="N113">
        <v>0</v>
      </c>
      <c r="O113" t="str">
        <f t="shared" si="46"/>
        <v xml:space="preserve">          </v>
      </c>
      <c r="P113" t="str">
        <f>CLEAN("SE FREEWAY - EAST WEST                                                                              ")</f>
        <v xml:space="preserve">SE FREEWAY - EAST WEST                                                                              </v>
      </c>
    </row>
    <row r="114" spans="1:16" x14ac:dyDescent="0.25">
      <c r="A114" t="str">
        <f t="shared" si="26"/>
        <v>10</v>
      </c>
      <c r="B114" t="str">
        <f t="shared" si="36"/>
        <v>22</v>
      </c>
      <c r="C114" s="1">
        <v>46198</v>
      </c>
      <c r="D114" t="str">
        <f>CLEAN("1061-09-44")</f>
        <v>1061-09-44</v>
      </c>
      <c r="E114" t="str">
        <f>CLEAN("301EW")</f>
        <v>301EW</v>
      </c>
      <c r="F114" t="str">
        <f>CLEAN("$15,000,000 - $16,999,999")</f>
        <v>$15,000,000 - $16,999,999</v>
      </c>
      <c r="G114" t="str">
        <f>CLEAN("UTL")</f>
        <v>UTL</v>
      </c>
      <c r="H114" t="str">
        <f t="shared" si="45"/>
        <v>NONLET CONSTR/REAL ESTATE</v>
      </c>
      <c r="I114" t="str">
        <f>CLEAN("EX-UTIL/LEVEL OF EFFORT/PLACEHOLDER")</f>
        <v>EX-UTIL/LEVEL OF EFFORT/PLACEHOLDER</v>
      </c>
      <c r="J114" t="str">
        <f t="shared" si="47"/>
        <v>IH  094</v>
      </c>
      <c r="K114" t="str">
        <f>CLEAN("MILWAUKEE                     ")</f>
        <v xml:space="preserve">MILWAUKEE                     </v>
      </c>
      <c r="L114" t="str">
        <f>CLEAN("I-94 EAST WEST, EAST LEG           ")</f>
        <v xml:space="preserve">I-94 EAST WEST, EAST LEG           </v>
      </c>
      <c r="M114" t="str">
        <f>CLEAN("70TH STREET TO 16TH STREET         ")</f>
        <v xml:space="preserve">70TH STREET TO 16TH STREET         </v>
      </c>
      <c r="N114">
        <v>3.51</v>
      </c>
      <c r="O114" t="str">
        <f t="shared" si="46"/>
        <v xml:space="preserve">          </v>
      </c>
      <c r="P114" t="str">
        <f>CLEAN("SE FREEWAY - EAST WEST                                                                              ")</f>
        <v xml:space="preserve">SE FREEWAY - EAST WEST                                                                              </v>
      </c>
    </row>
    <row r="115" spans="1:16" x14ac:dyDescent="0.25">
      <c r="A115" t="str">
        <f t="shared" si="26"/>
        <v>10</v>
      </c>
      <c r="B115" t="str">
        <f t="shared" ref="B115:B120" si="48">CLEAN("21")</f>
        <v>21</v>
      </c>
      <c r="C115" s="1">
        <v>46259</v>
      </c>
      <c r="D115" t="str">
        <f>CLEAN("1067-02-77")</f>
        <v>1067-02-77</v>
      </c>
      <c r="E115" t="str">
        <f t="shared" ref="E115:E137" si="49">CLEAN("303  ")</f>
        <v xml:space="preserve">303  </v>
      </c>
      <c r="F115" t="str">
        <f>CLEAN("$60,000,000 - $69,999,999")</f>
        <v>$60,000,000 - $69,999,999</v>
      </c>
      <c r="G115" t="str">
        <f>CLEAN("D/B")</f>
        <v>D/B</v>
      </c>
      <c r="H115" t="str">
        <f t="shared" si="45"/>
        <v>NONLET CONSTR/REAL ESTATE</v>
      </c>
      <c r="I115" t="str">
        <f>CLEAN("DES-BLD/REPL B28-196,197,198,199   ")</f>
        <v xml:space="preserve">DES-BLD/REPL B28-196,197,198,199   </v>
      </c>
      <c r="J115" t="str">
        <f t="shared" si="47"/>
        <v>IH  094</v>
      </c>
      <c r="K115" t="str">
        <f>CLEAN("JEFFERSON                     ")</f>
        <v xml:space="preserve">JEFFERSON                     </v>
      </c>
      <c r="L115" t="str">
        <f>CLEAN("LAKE MILLS - OCONOMOWOC            ")</f>
        <v xml:space="preserve">LAKE MILLS - OCONOMOWOC            </v>
      </c>
      <c r="M115" t="str">
        <f>CLEAN("ROCK &amp; CRAWFISH RIVER BRGS         ")</f>
        <v xml:space="preserve">ROCK &amp; CRAWFISH RIVER BRGS         </v>
      </c>
      <c r="N115">
        <v>4.07</v>
      </c>
      <c r="O115" t="str">
        <f t="shared" si="46"/>
        <v xml:space="preserve">          </v>
      </c>
      <c r="P115" t="str">
        <f t="shared" ref="P115:P120" si="50">CLEAN("BACKBONE                                                                                            ")</f>
        <v xml:space="preserve">BACKBONE                                                                                            </v>
      </c>
    </row>
    <row r="116" spans="1:16" x14ac:dyDescent="0.25">
      <c r="A116" t="str">
        <f t="shared" si="26"/>
        <v>10</v>
      </c>
      <c r="B116" t="str">
        <f t="shared" si="48"/>
        <v>21</v>
      </c>
      <c r="C116" s="1">
        <v>46000</v>
      </c>
      <c r="D116" t="str">
        <f>CLEAN("1067-04-61")</f>
        <v>1067-04-61</v>
      </c>
      <c r="E116" t="str">
        <f t="shared" si="49"/>
        <v xml:space="preserve">303  </v>
      </c>
      <c r="F116" t="str">
        <f>CLEAN("$4,000,000 - $4,999,999  ")</f>
        <v xml:space="preserve">$4,000,000 - $4,999,999  </v>
      </c>
      <c r="G116" t="str">
        <f>CLEAN("LET")</f>
        <v>LET</v>
      </c>
      <c r="H116" t="str">
        <f>CLEAN("LET CONSTRUCTION         ")</f>
        <v xml:space="preserve">LET CONSTRUCTION         </v>
      </c>
      <c r="I116" t="str">
        <f>CLEAN("CONST/PAVEMENT REPAIR/GRIND        ")</f>
        <v xml:space="preserve">CONST/PAVEMENT REPAIR/GRIND        </v>
      </c>
      <c r="J116" t="str">
        <f t="shared" si="47"/>
        <v>IH  094</v>
      </c>
      <c r="K116" t="str">
        <f>CLEAN("JEFFERSON                     ")</f>
        <v xml:space="preserve">JEFFERSON                     </v>
      </c>
      <c r="L116" t="str">
        <f>CLEAN("LAKE MILLS - OCONOMOWOC            ")</f>
        <v xml:space="preserve">LAKE MILLS - OCONOMOWOC            </v>
      </c>
      <c r="M116" t="str">
        <f>CLEAN("STH 26 INTERCHANGE AREA            ")</f>
        <v xml:space="preserve">STH 26 INTERCHANGE AREA            </v>
      </c>
      <c r="N116">
        <v>1.258</v>
      </c>
      <c r="O116" t="str">
        <f t="shared" si="46"/>
        <v xml:space="preserve">          </v>
      </c>
      <c r="P116" t="str">
        <f t="shared" si="50"/>
        <v xml:space="preserve">BACKBONE                                                                                            </v>
      </c>
    </row>
    <row r="117" spans="1:16" x14ac:dyDescent="0.25">
      <c r="A117" t="str">
        <f t="shared" si="26"/>
        <v>10</v>
      </c>
      <c r="B117" t="str">
        <f t="shared" si="48"/>
        <v>21</v>
      </c>
      <c r="C117" s="1">
        <v>45894</v>
      </c>
      <c r="D117" t="str">
        <f>CLEAN("1070-00-04")</f>
        <v>1070-00-04</v>
      </c>
      <c r="E117" t="str">
        <f t="shared" si="49"/>
        <v xml:space="preserve">303  </v>
      </c>
      <c r="F117" t="str">
        <f>CLEAN("$500,000 - $749,999      ")</f>
        <v xml:space="preserve">$500,000 - $749,999      </v>
      </c>
      <c r="G117" t="str">
        <f>CLEAN("OST")</f>
        <v>OST</v>
      </c>
      <c r="H117" t="str">
        <f>CLEAN("NONLET CONSTR/REAL ESTATE")</f>
        <v>NONLET CONSTR/REAL ESTATE</v>
      </c>
      <c r="I117" t="str">
        <f>CLEAN("DESIGN/REIMBURSEMENT TO MINNESOTA  ")</f>
        <v xml:space="preserve">DESIGN/REIMBURSEMENT TO MINNESOTA  </v>
      </c>
      <c r="J117" t="str">
        <f>CLEAN("IH  090")</f>
        <v>IH  090</v>
      </c>
      <c r="K117" t="str">
        <f>CLEAN("LA CROSSE                     ")</f>
        <v xml:space="preserve">LA CROSSE                     </v>
      </c>
      <c r="L117" t="str">
        <f>CLEAN("LA CROSSE - SPARTA                 ")</f>
        <v xml:space="preserve">LA CROSSE - SPARTA                 </v>
      </c>
      <c r="M117" t="str">
        <f>CLEAN("DRESBACH BRIDGES B-32-222 &amp; 223    ")</f>
        <v xml:space="preserve">DRESBACH BRIDGES B-32-222 &amp; 223    </v>
      </c>
      <c r="N117">
        <v>0.34100000000000003</v>
      </c>
      <c r="O117" t="str">
        <f t="shared" si="46"/>
        <v xml:space="preserve">          </v>
      </c>
      <c r="P117" t="str">
        <f t="shared" si="50"/>
        <v xml:space="preserve">BACKBONE                                                                                            </v>
      </c>
    </row>
    <row r="118" spans="1:16" x14ac:dyDescent="0.25">
      <c r="A118" t="str">
        <f t="shared" si="26"/>
        <v>10</v>
      </c>
      <c r="B118" t="str">
        <f t="shared" si="48"/>
        <v>21</v>
      </c>
      <c r="C118" s="1">
        <v>45894</v>
      </c>
      <c r="D118" t="str">
        <f>CLEAN("1070-00-05")</f>
        <v>1070-00-05</v>
      </c>
      <c r="E118" t="str">
        <f t="shared" si="49"/>
        <v xml:space="preserve">303  </v>
      </c>
      <c r="F118" t="str">
        <f>CLEAN("$250,000 - $499,999      ")</f>
        <v xml:space="preserve">$250,000 - $499,999      </v>
      </c>
      <c r="G118" t="str">
        <f>CLEAN("OST")</f>
        <v>OST</v>
      </c>
      <c r="H118" t="str">
        <f>CLEAN("NONLET CONSTR/REAL ESTATE")</f>
        <v>NONLET CONSTR/REAL ESTATE</v>
      </c>
      <c r="I118" t="str">
        <f>CLEAN("DESIGN/REIMBURSEMENT TO MINNESOTA  ")</f>
        <v xml:space="preserve">DESIGN/REIMBURSEMENT TO MINNESOTA  </v>
      </c>
      <c r="J118" t="str">
        <f>CLEAN("IH  090")</f>
        <v>IH  090</v>
      </c>
      <c r="K118" t="str">
        <f>CLEAN("LA CROSSE                     ")</f>
        <v xml:space="preserve">LA CROSSE                     </v>
      </c>
      <c r="L118" t="str">
        <f>CLEAN("LA CROSSE - SPARTA                 ")</f>
        <v xml:space="preserve">LA CROSSE - SPARTA                 </v>
      </c>
      <c r="M118" t="str">
        <f>CLEAN("DRESBACH BRIDGES B-32-222 &amp; 223    ")</f>
        <v xml:space="preserve">DRESBACH BRIDGES B-32-222 &amp; 223    </v>
      </c>
      <c r="N118">
        <v>0.34100000000000003</v>
      </c>
      <c r="O118" t="str">
        <f t="shared" si="46"/>
        <v xml:space="preserve">          </v>
      </c>
      <c r="P118" t="str">
        <f t="shared" si="50"/>
        <v xml:space="preserve">BACKBONE                                                                                            </v>
      </c>
    </row>
    <row r="119" spans="1:16" x14ac:dyDescent="0.25">
      <c r="A119" t="str">
        <f t="shared" si="26"/>
        <v>10</v>
      </c>
      <c r="B119" t="str">
        <f t="shared" si="48"/>
        <v>21</v>
      </c>
      <c r="C119" s="1">
        <v>45881</v>
      </c>
      <c r="D119" t="str">
        <f>CLEAN("1070-04-64")</f>
        <v>1070-04-64</v>
      </c>
      <c r="E119" t="str">
        <f t="shared" si="49"/>
        <v xml:space="preserve">303  </v>
      </c>
      <c r="F119" t="str">
        <f>CLEAN("$6,000,000 - $6,999,999  ")</f>
        <v xml:space="preserve">$6,000,000 - $6,999,999  </v>
      </c>
      <c r="G119" t="str">
        <f>CLEAN("LET")</f>
        <v>LET</v>
      </c>
      <c r="H119" t="str">
        <f>CLEAN("LET CONSTRUCTION         ")</f>
        <v xml:space="preserve">LET CONSTRUCTION         </v>
      </c>
      <c r="I119" t="str">
        <f>CLEAN("CONST/B-32-34,35,46,47,73/BRRHB    ")</f>
        <v xml:space="preserve">CONST/B-32-34,35,46,47,73/BRRHB    </v>
      </c>
      <c r="J119" t="str">
        <f>CLEAN("IH  090")</f>
        <v>IH  090</v>
      </c>
      <c r="K119" t="str">
        <f>CLEAN("LA CROSSE                     ")</f>
        <v xml:space="preserve">LA CROSSE                     </v>
      </c>
      <c r="L119" t="str">
        <f>CLEAN("LA CROSSE - SPARTA                 ")</f>
        <v xml:space="preserve">LA CROSSE - SPARTA                 </v>
      </c>
      <c r="M119" t="str">
        <f>CLEAN("BLACK RVR, ROUND LK, BAINBRIDGE BRG")</f>
        <v>BLACK RVR, ROUND LK, BAINBRIDGE BRG</v>
      </c>
      <c r="N119">
        <v>0.182</v>
      </c>
      <c r="O119" t="str">
        <f t="shared" si="46"/>
        <v xml:space="preserve">          </v>
      </c>
      <c r="P119" t="str">
        <f t="shared" si="50"/>
        <v xml:space="preserve">BACKBONE                                                                                            </v>
      </c>
    </row>
    <row r="120" spans="1:16" x14ac:dyDescent="0.25">
      <c r="A120" t="str">
        <f t="shared" si="26"/>
        <v>10</v>
      </c>
      <c r="B120" t="str">
        <f t="shared" si="48"/>
        <v>21</v>
      </c>
      <c r="C120" s="1">
        <v>45894</v>
      </c>
      <c r="D120" t="str">
        <f>CLEAN("1071-01-62")</f>
        <v>1071-01-62</v>
      </c>
      <c r="E120" t="str">
        <f t="shared" si="49"/>
        <v xml:space="preserve">303  </v>
      </c>
      <c r="F120" t="str">
        <f>CLEAN("$0 - $99,999             ")</f>
        <v xml:space="preserve">$0 - $99,999             </v>
      </c>
      <c r="G120" t="str">
        <f>CLEAN("LFA")</f>
        <v>LFA</v>
      </c>
      <c r="H120" t="str">
        <f>CLEAN("NONLET CONSTR/REAL ESTATE")</f>
        <v>NONLET CONSTR/REAL ESTATE</v>
      </c>
      <c r="I120" t="str">
        <f>CLEAN("LFA/LINE C32090073600              ")</f>
        <v xml:space="preserve">LFA/LINE C32090073600              </v>
      </c>
      <c r="J120" t="str">
        <f>CLEAN("IH  090")</f>
        <v>IH  090</v>
      </c>
      <c r="K120" t="str">
        <f>CLEAN("LA CROSSE                     ")</f>
        <v xml:space="preserve">LA CROSSE                     </v>
      </c>
      <c r="L120" t="str">
        <f>CLEAN("LA CROSSE - WEST SALEM             ")</f>
        <v xml:space="preserve">LA CROSSE - WEST SALEM             </v>
      </c>
      <c r="M120" t="str">
        <f>CLEAN("CULVERT C32090073600               ")</f>
        <v xml:space="preserve">CULVERT C32090073600               </v>
      </c>
      <c r="N120">
        <v>7.0000000000000001E-3</v>
      </c>
      <c r="O120" t="str">
        <f t="shared" si="46"/>
        <v xml:space="preserve">          </v>
      </c>
      <c r="P120" t="str">
        <f t="shared" si="50"/>
        <v xml:space="preserve">BACKBONE                                                                                            </v>
      </c>
    </row>
    <row r="121" spans="1:16" x14ac:dyDescent="0.25">
      <c r="A121" t="str">
        <f t="shared" si="26"/>
        <v>10</v>
      </c>
      <c r="B121" t="str">
        <f t="shared" ref="B121:B136" si="51">CLEAN("22")</f>
        <v>22</v>
      </c>
      <c r="C121" s="1">
        <v>46035</v>
      </c>
      <c r="D121" t="str">
        <f>CLEAN("1080-05-70")</f>
        <v>1080-05-70</v>
      </c>
      <c r="E121" t="str">
        <f t="shared" si="49"/>
        <v xml:space="preserve">303  </v>
      </c>
      <c r="F121" t="str">
        <f>CLEAN("$1,000,000 - $1,999,999  ")</f>
        <v xml:space="preserve">$1,000,000 - $1,999,999  </v>
      </c>
      <c r="G121" t="str">
        <f>CLEAN("LET")</f>
        <v>LET</v>
      </c>
      <c r="H121" t="str">
        <f>CLEAN("LET CONSTRUCTION         ")</f>
        <v xml:space="preserve">LET CONSTRUCTION         </v>
      </c>
      <c r="I121" t="str">
        <f>CLEAN("CONST/CABLE BARRIER                ")</f>
        <v xml:space="preserve">CONST/CABLE BARRIER                </v>
      </c>
      <c r="J121" t="str">
        <f>CLEAN("USH 012")</f>
        <v>USH 012</v>
      </c>
      <c r="K121" t="str">
        <f>CLEAN("WALWORTH                      ")</f>
        <v xml:space="preserve">WALWORTH                      </v>
      </c>
      <c r="L121" t="str">
        <f>CLEAN("ELKHORN - RICHMOND                 ")</f>
        <v xml:space="preserve">ELKHORN - RICHMOND                 </v>
      </c>
      <c r="M121" t="str">
        <f>CLEAN("CTH NN TO SHERIDAN SPRINGS         ")</f>
        <v xml:space="preserve">CTH NN TO SHERIDAN SPRINGS         </v>
      </c>
      <c r="N121">
        <v>2.7549999999999999</v>
      </c>
      <c r="O121" t="str">
        <f t="shared" si="46"/>
        <v xml:space="preserve">          </v>
      </c>
      <c r="P121" t="str">
        <f>CLEAN("SAFETY (REGULAR HSIP)                                                                               ")</f>
        <v xml:space="preserve">SAFETY (REGULAR HSIP)                                                                               </v>
      </c>
    </row>
    <row r="122" spans="1:16" x14ac:dyDescent="0.25">
      <c r="A122" t="str">
        <f t="shared" si="26"/>
        <v>10</v>
      </c>
      <c r="B122" t="str">
        <f t="shared" si="51"/>
        <v>22</v>
      </c>
      <c r="C122" s="1">
        <v>46035</v>
      </c>
      <c r="D122" t="str">
        <f>CLEAN("1080-05-70")</f>
        <v>1080-05-70</v>
      </c>
      <c r="E122" t="str">
        <f t="shared" si="49"/>
        <v xml:space="preserve">303  </v>
      </c>
      <c r="F122" t="str">
        <f>CLEAN("$1,000,000 - $1,999,999  ")</f>
        <v xml:space="preserve">$1,000,000 - $1,999,999  </v>
      </c>
      <c r="G122" t="str">
        <f>CLEAN("LET")</f>
        <v>LET</v>
      </c>
      <c r="H122" t="str">
        <f>CLEAN("LET CONSTRUCTION         ")</f>
        <v xml:space="preserve">LET CONSTRUCTION         </v>
      </c>
      <c r="I122" t="str">
        <f>CLEAN("CONST/CABLE BARRIER                ")</f>
        <v xml:space="preserve">CONST/CABLE BARRIER                </v>
      </c>
      <c r="J122" t="str">
        <f>CLEAN("USH 012")</f>
        <v>USH 012</v>
      </c>
      <c r="K122" t="str">
        <f>CLEAN("WALWORTH                      ")</f>
        <v xml:space="preserve">WALWORTH                      </v>
      </c>
      <c r="L122" t="str">
        <f>CLEAN("ELKHORN - RICHMOND                 ")</f>
        <v xml:space="preserve">ELKHORN - RICHMOND                 </v>
      </c>
      <c r="M122" t="str">
        <f>CLEAN("CTH NN TO SHERIDAN SPRINGS         ")</f>
        <v xml:space="preserve">CTH NN TO SHERIDAN SPRINGS         </v>
      </c>
      <c r="N122">
        <v>2.7549999999999999</v>
      </c>
      <c r="O122" t="str">
        <f t="shared" si="46"/>
        <v xml:space="preserve">          </v>
      </c>
      <c r="P122" t="str">
        <f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123" spans="1:16" x14ac:dyDescent="0.25">
      <c r="A123" t="str">
        <f t="shared" si="26"/>
        <v>10</v>
      </c>
      <c r="B123" t="str">
        <f t="shared" si="51"/>
        <v>22</v>
      </c>
      <c r="C123" s="1">
        <v>46063</v>
      </c>
      <c r="D123" t="str">
        <f>CLEAN("1090-03-77")</f>
        <v>1090-03-77</v>
      </c>
      <c r="E123" t="str">
        <f t="shared" si="49"/>
        <v xml:space="preserve">303  </v>
      </c>
      <c r="F123" t="str">
        <f>CLEAN("$1,000,000 - $1,999,999  ")</f>
        <v xml:space="preserve">$1,000,000 - $1,999,999  </v>
      </c>
      <c r="G123" t="str">
        <f>CLEAN("LET")</f>
        <v>LET</v>
      </c>
      <c r="H123" t="str">
        <f>CLEAN("LET CONSTRUCTION         ")</f>
        <v xml:space="preserve">LET CONSTRUCTION         </v>
      </c>
      <c r="I123" t="str">
        <f>CLEAN("CONST/RESURFACE                    ")</f>
        <v xml:space="preserve">CONST/RESURFACE                    </v>
      </c>
      <c r="J123" t="str">
        <f>CLEAN("STH 020")</f>
        <v>STH 020</v>
      </c>
      <c r="K123" t="str">
        <f>CLEAN("WALWORTH                      ")</f>
        <v xml:space="preserve">WALWORTH                      </v>
      </c>
      <c r="L123" t="str">
        <f>CLEAN("V EAST TROY, NORTH STREET          ")</f>
        <v xml:space="preserve">V EAST TROY, NORTH STREET          </v>
      </c>
      <c r="M123" t="str">
        <f>CLEAN("TOWNLINE RD TO EDWARDS ST          ")</f>
        <v xml:space="preserve">TOWNLINE RD TO EDWARDS ST          </v>
      </c>
      <c r="N123">
        <v>1.2829999999999999</v>
      </c>
      <c r="O123" t="str">
        <f t="shared" si="46"/>
        <v xml:space="preserve">          </v>
      </c>
      <c r="P123" t="str">
        <f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124" spans="1:16" x14ac:dyDescent="0.25">
      <c r="A124" t="str">
        <f t="shared" si="26"/>
        <v>10</v>
      </c>
      <c r="B124" t="str">
        <f t="shared" si="51"/>
        <v>22</v>
      </c>
      <c r="C124" s="1">
        <v>45925</v>
      </c>
      <c r="D124" t="str">
        <f>CLEAN("1090-03-95")</f>
        <v>1090-03-95</v>
      </c>
      <c r="E124" t="str">
        <f t="shared" si="49"/>
        <v xml:space="preserve">303  </v>
      </c>
      <c r="F124" t="str">
        <f>CLEAN("$0 - $99,999             ")</f>
        <v xml:space="preserve">$0 - $99,999             </v>
      </c>
      <c r="G124" t="str">
        <f>CLEAN("MIS")</f>
        <v>MIS</v>
      </c>
      <c r="H124" t="str">
        <f>CLEAN("NONLET CONSTR/REAL ESTATE")</f>
        <v>NONLET CONSTR/REAL ESTATE</v>
      </c>
      <c r="I124" t="str">
        <f>CLEAN("TRAFFIC MITIGATION FOR 1090-03-75  ")</f>
        <v xml:space="preserve">TRAFFIC MITIGATION FOR 1090-03-75  </v>
      </c>
      <c r="J124" t="str">
        <f>CLEAN("IH  043")</f>
        <v>IH  043</v>
      </c>
      <c r="K124" t="str">
        <f>CLEAN("MILWAUKEE                     ")</f>
        <v xml:space="preserve">MILWAUKEE                     </v>
      </c>
      <c r="L124" t="str">
        <f>CLEAN("IH43 - AIRPORT FREEWAY             ")</f>
        <v xml:space="preserve">IH43 - AIRPORT FREEWAY             </v>
      </c>
      <c r="M124" t="str">
        <f>CLEAN("HALE I/C                           ")</f>
        <v xml:space="preserve">HALE I/C                           </v>
      </c>
      <c r="N124">
        <v>0</v>
      </c>
      <c r="O124" t="str">
        <f t="shared" si="46"/>
        <v xml:space="preserve">          </v>
      </c>
      <c r="P124" t="str">
        <f t="shared" ref="P124:P137" si="52">CLEAN("BACKBONE                                                                                            ")</f>
        <v xml:space="preserve">BACKBONE                                                                                            </v>
      </c>
    </row>
    <row r="125" spans="1:16" x14ac:dyDescent="0.25">
      <c r="A125" t="str">
        <f t="shared" si="26"/>
        <v>10</v>
      </c>
      <c r="B125" t="str">
        <f t="shared" si="51"/>
        <v>22</v>
      </c>
      <c r="C125" s="1">
        <v>45925</v>
      </c>
      <c r="D125" t="str">
        <f>CLEAN("1090-03-98")</f>
        <v>1090-03-98</v>
      </c>
      <c r="E125" t="str">
        <f t="shared" si="49"/>
        <v xml:space="preserve">303  </v>
      </c>
      <c r="F125" t="str">
        <f>CLEAN("$0 - $99,999             ")</f>
        <v xml:space="preserve">$0 - $99,999             </v>
      </c>
      <c r="G125" t="str">
        <f>CLEAN("MIS")</f>
        <v>MIS</v>
      </c>
      <c r="H125" t="str">
        <f>CLEAN("NONLET CONSTR/REAL ESTATE")</f>
        <v>NONLET CONSTR/REAL ESTATE</v>
      </c>
      <c r="I125" t="str">
        <f>CLEAN("TRAFFIC MITIGATION FOR 1090-03-78  ")</f>
        <v xml:space="preserve">TRAFFIC MITIGATION FOR 1090-03-78  </v>
      </c>
      <c r="J125" t="str">
        <f>CLEAN("IH  041")</f>
        <v>IH  041</v>
      </c>
      <c r="K125" t="str">
        <f>CLEAN("MILWAUKEE                     ")</f>
        <v xml:space="preserve">MILWAUKEE                     </v>
      </c>
      <c r="L125" t="str">
        <f>CLEAN("IH 41 AIRPORT FREEWAY-NOISE BARRIER")</f>
        <v>IH 41 AIRPORT FREEWAY-NOISE BARRIER</v>
      </c>
      <c r="M125" t="str">
        <f>CLEAN("76TH ST - STH 36                   ")</f>
        <v xml:space="preserve">76TH ST - STH 36                   </v>
      </c>
      <c r="N125">
        <v>1.9950000000000001</v>
      </c>
      <c r="O125" t="str">
        <f t="shared" si="46"/>
        <v xml:space="preserve">          </v>
      </c>
      <c r="P125" t="str">
        <f t="shared" si="52"/>
        <v xml:space="preserve">BACKBONE                                                                                            </v>
      </c>
    </row>
    <row r="126" spans="1:16" x14ac:dyDescent="0.25">
      <c r="A126" t="str">
        <f t="shared" si="26"/>
        <v>10</v>
      </c>
      <c r="B126" t="str">
        <f t="shared" si="51"/>
        <v>22</v>
      </c>
      <c r="C126" s="1">
        <v>45894</v>
      </c>
      <c r="D126" t="str">
        <f>CLEAN("1090-09-25")</f>
        <v>1090-09-25</v>
      </c>
      <c r="E126" t="str">
        <f t="shared" si="49"/>
        <v xml:space="preserve">303  </v>
      </c>
      <c r="F126" t="str">
        <f>CLEAN("$0 - $99,999             ")</f>
        <v xml:space="preserve">$0 - $99,999             </v>
      </c>
      <c r="G126" t="str">
        <f>CLEAN("R/E")</f>
        <v>R/E</v>
      </c>
      <c r="H126" t="str">
        <f>CLEAN("NONLET CONSTR/REAL ESTATE")</f>
        <v>NONLET CONSTR/REAL ESTATE</v>
      </c>
      <c r="I126" t="str">
        <f>CLEAN("RE/PAVEMENT REPLACEMENT            ")</f>
        <v xml:space="preserve">RE/PAVEMENT REPLACEMENT            </v>
      </c>
      <c r="J126" t="str">
        <f>CLEAN("IH  043")</f>
        <v>IH  043</v>
      </c>
      <c r="K126" t="str">
        <f>CLEAN("WALWORTH                      ")</f>
        <v xml:space="preserve">WALWORTH                      </v>
      </c>
      <c r="L126" t="str">
        <f>CLEAN("IH 43 ROCK FREEWAY                 ")</f>
        <v xml:space="preserve">IH 43 ROCK FREEWAY                 </v>
      </c>
      <c r="M126" t="str">
        <f>CLEAN("STH 20 TO STH 83                   ")</f>
        <v xml:space="preserve">STH 20 TO STH 83                   </v>
      </c>
      <c r="N126">
        <v>5.46</v>
      </c>
      <c r="O126" t="str">
        <f t="shared" si="46"/>
        <v xml:space="preserve">          </v>
      </c>
      <c r="P126" t="str">
        <f t="shared" si="52"/>
        <v xml:space="preserve">BACKBONE                                                                                            </v>
      </c>
    </row>
    <row r="127" spans="1:16" x14ac:dyDescent="0.25">
      <c r="A127" t="str">
        <f t="shared" ref="A127:A190" si="53">CLEAN("10")</f>
        <v>10</v>
      </c>
      <c r="B127" t="str">
        <f t="shared" si="51"/>
        <v>22</v>
      </c>
      <c r="C127" s="1">
        <v>46245</v>
      </c>
      <c r="D127" t="str">
        <f>CLEAN("1090-09-75")</f>
        <v>1090-09-75</v>
      </c>
      <c r="E127" t="str">
        <f t="shared" si="49"/>
        <v xml:space="preserve">303  </v>
      </c>
      <c r="F127" t="str">
        <f>CLEAN("$40,000,000 - $44,999,999")</f>
        <v>$40,000,000 - $44,999,999</v>
      </c>
      <c r="G127" t="str">
        <f>CLEAN("LET")</f>
        <v>LET</v>
      </c>
      <c r="H127" t="str">
        <f>CLEAN("LET CONSTRUCTION         ")</f>
        <v xml:space="preserve">LET CONSTRUCTION         </v>
      </c>
      <c r="I127" t="str">
        <f>CLEAN("CONST/PAVEMENT REPLACEMENT         ")</f>
        <v xml:space="preserve">CONST/PAVEMENT REPLACEMENT         </v>
      </c>
      <c r="J127" t="str">
        <f>CLEAN("IH  043")</f>
        <v>IH  043</v>
      </c>
      <c r="K127" t="str">
        <f>CLEAN("WALWORTH                      ")</f>
        <v xml:space="preserve">WALWORTH                      </v>
      </c>
      <c r="L127" t="str">
        <f>CLEAN("IH 43 ROCK FREEWAY                 ")</f>
        <v xml:space="preserve">IH 43 ROCK FREEWAY                 </v>
      </c>
      <c r="M127" t="str">
        <f>CLEAN("STH 20 TO STH 83                   ")</f>
        <v xml:space="preserve">STH 20 TO STH 83                   </v>
      </c>
      <c r="N127">
        <v>5.46</v>
      </c>
      <c r="O127" t="str">
        <f t="shared" si="46"/>
        <v xml:space="preserve">          </v>
      </c>
      <c r="P127" t="str">
        <f t="shared" si="52"/>
        <v xml:space="preserve">BACKBONE                                                                                            </v>
      </c>
    </row>
    <row r="128" spans="1:16" x14ac:dyDescent="0.25">
      <c r="A128" t="str">
        <f t="shared" si="53"/>
        <v>10</v>
      </c>
      <c r="B128" t="str">
        <f t="shared" si="51"/>
        <v>22</v>
      </c>
      <c r="C128" s="1">
        <v>45894</v>
      </c>
      <c r="D128" t="str">
        <f>CLEAN("1090-32-20")</f>
        <v>1090-32-20</v>
      </c>
      <c r="E128" t="str">
        <f t="shared" si="49"/>
        <v xml:space="preserve">303  </v>
      </c>
      <c r="F128" t="str">
        <f>CLEAN("$100,000-$249,999        ")</f>
        <v xml:space="preserve">$100,000-$249,999        </v>
      </c>
      <c r="G128" t="str">
        <f>CLEAN("R/E")</f>
        <v>R/E</v>
      </c>
      <c r="H128" t="str">
        <f>CLEAN("NONLET CONSTR/REAL ESTATE")</f>
        <v>NONLET CONSTR/REAL ESTATE</v>
      </c>
      <c r="I128" t="str">
        <f>CLEAN("RE/BRIDGE REPLACEMENT              ")</f>
        <v xml:space="preserve">RE/BRIDGE REPLACEMENT              </v>
      </c>
      <c r="J128" t="str">
        <f>CLEAN("IH  043")</f>
        <v>IH  043</v>
      </c>
      <c r="K128" t="str">
        <f>CLEAN("MILWAUKEE                     ")</f>
        <v xml:space="preserve">MILWAUKEE                     </v>
      </c>
      <c r="L128" t="str">
        <f>CLEAN("IH 43 AIRPORT FREEWAY              ")</f>
        <v xml:space="preserve">IH 43 AIRPORT FREEWAY              </v>
      </c>
      <c r="M128" t="str">
        <f>CLEAN("92ND STREET BRIDGE B-40-0190       ")</f>
        <v xml:space="preserve">92ND STREET BRIDGE B-40-0190       </v>
      </c>
      <c r="N128">
        <v>5.0000000000000001E-3</v>
      </c>
      <c r="O128" t="str">
        <f t="shared" si="46"/>
        <v xml:space="preserve">          </v>
      </c>
      <c r="P128" t="str">
        <f t="shared" si="52"/>
        <v xml:space="preserve">BACKBONE                                                                                            </v>
      </c>
    </row>
    <row r="129" spans="1:16" x14ac:dyDescent="0.25">
      <c r="A129" t="str">
        <f t="shared" si="53"/>
        <v>10</v>
      </c>
      <c r="B129" t="str">
        <f t="shared" si="51"/>
        <v>22</v>
      </c>
      <c r="C129" s="1">
        <v>46000</v>
      </c>
      <c r="D129" t="str">
        <f>CLEAN("1090-39-70")</f>
        <v>1090-39-70</v>
      </c>
      <c r="E129" t="str">
        <f t="shared" si="49"/>
        <v xml:space="preserve">303  </v>
      </c>
      <c r="F129" t="str">
        <f>CLEAN("$50,000,000 - $59,999,999")</f>
        <v>$50,000,000 - $59,999,999</v>
      </c>
      <c r="G129" t="str">
        <f>CLEAN("LET")</f>
        <v>LET</v>
      </c>
      <c r="H129" t="str">
        <f>CLEAN("LET CONSTRUCTION         ")</f>
        <v xml:space="preserve">LET CONSTRUCTION         </v>
      </c>
      <c r="I129" t="str">
        <f>CLEAN("CONSTRUCTION/PAVEMENT REPLACEMENT  ")</f>
        <v xml:space="preserve">CONSTRUCTION/PAVEMENT REPLACEMENT  </v>
      </c>
      <c r="J129" t="str">
        <f>CLEAN("IH  043")</f>
        <v>IH  043</v>
      </c>
      <c r="K129" t="str">
        <f>CLEAN("WAUKESHA                      ")</f>
        <v xml:space="preserve">WAUKESHA                      </v>
      </c>
      <c r="L129" t="str">
        <f>CLEAN("IH 43 ROCK FREEWAY                 ")</f>
        <v xml:space="preserve">IH 43 ROCK FREEWAY                 </v>
      </c>
      <c r="M129" t="str">
        <f>CLEAN("STH 83 TO STH 164                  ")</f>
        <v xml:space="preserve">STH 83 TO STH 164                  </v>
      </c>
      <c r="N129">
        <v>7.4610000000000003</v>
      </c>
      <c r="O129" t="str">
        <f t="shared" si="46"/>
        <v xml:space="preserve">          </v>
      </c>
      <c r="P129" t="str">
        <f t="shared" si="52"/>
        <v xml:space="preserve">BACKBONE                                                                                            </v>
      </c>
    </row>
    <row r="130" spans="1:16" x14ac:dyDescent="0.25">
      <c r="A130" t="str">
        <f t="shared" si="53"/>
        <v>10</v>
      </c>
      <c r="B130" t="str">
        <f t="shared" si="51"/>
        <v>22</v>
      </c>
      <c r="C130" s="1">
        <v>45986</v>
      </c>
      <c r="D130" t="str">
        <f>CLEAN("1100-05-22")</f>
        <v>1100-05-22</v>
      </c>
      <c r="E130" t="str">
        <f t="shared" si="49"/>
        <v xml:space="preserve">303  </v>
      </c>
      <c r="F130" t="str">
        <f>CLEAN("$0 - $99,999             ")</f>
        <v xml:space="preserve">$0 - $99,999             </v>
      </c>
      <c r="G130" t="str">
        <f>CLEAN("R/E")</f>
        <v>R/E</v>
      </c>
      <c r="H130" t="str">
        <f t="shared" ref="H130:H142" si="54">CLEAN("NONLET CONSTR/REAL ESTATE")</f>
        <v>NONLET CONSTR/REAL ESTATE</v>
      </c>
      <c r="I130" t="str">
        <f>CLEAN("RE/RESURFACE                       ")</f>
        <v xml:space="preserve">RE/RESURFACE                       </v>
      </c>
      <c r="J130" t="str">
        <f t="shared" ref="J130:J135" si="55">CLEAN("IH  041")</f>
        <v>IH  041</v>
      </c>
      <c r="K130" t="str">
        <f>CLEAN("WASHINGTON                    ")</f>
        <v xml:space="preserve">WASHINGTON                    </v>
      </c>
      <c r="L130" t="str">
        <f>CLEAN("MILWAUKEE - FOND DU LAC            ")</f>
        <v xml:space="preserve">MILWAUKEE - FOND DU LAC            </v>
      </c>
      <c r="M130" t="str">
        <f>CLEAN("WAUKESHA CO LINE TO USH 45         ")</f>
        <v xml:space="preserve">WAUKESHA CO LINE TO USH 45         </v>
      </c>
      <c r="N130">
        <v>5.1970000000000001</v>
      </c>
      <c r="O130" t="str">
        <f t="shared" si="46"/>
        <v xml:space="preserve">          </v>
      </c>
      <c r="P130" t="str">
        <f t="shared" si="52"/>
        <v xml:space="preserve">BACKBONE                                                                                            </v>
      </c>
    </row>
    <row r="131" spans="1:16" x14ac:dyDescent="0.25">
      <c r="A131" t="str">
        <f t="shared" si="53"/>
        <v>10</v>
      </c>
      <c r="B131" t="str">
        <f t="shared" si="51"/>
        <v>22</v>
      </c>
      <c r="C131" s="1">
        <v>45894</v>
      </c>
      <c r="D131" t="str">
        <f>CLEAN("1100-05-93")</f>
        <v>1100-05-93</v>
      </c>
      <c r="E131" t="str">
        <f t="shared" si="49"/>
        <v xml:space="preserve">303  </v>
      </c>
      <c r="F131" t="str">
        <f>CLEAN("$0 - $99,999             ")</f>
        <v xml:space="preserve">$0 - $99,999             </v>
      </c>
      <c r="G131" t="str">
        <f>CLEAN("SFA")</f>
        <v>SFA</v>
      </c>
      <c r="H131" t="str">
        <f t="shared" si="54"/>
        <v>NONLET CONSTR/REAL ESTATE</v>
      </c>
      <c r="I131" t="str">
        <f>CLEAN("MITIGATION 1100-05-73/1090-03-75   ")</f>
        <v xml:space="preserve">MITIGATION 1100-05-73/1090-03-75   </v>
      </c>
      <c r="J131" t="str">
        <f t="shared" si="55"/>
        <v>IH  041</v>
      </c>
      <c r="K131" t="str">
        <f t="shared" ref="K131:K136" si="56">CLEAN("MILWAUKEE                     ")</f>
        <v xml:space="preserve">MILWAUKEE                     </v>
      </c>
      <c r="L131" t="str">
        <f>CLEAN("IH 41 AIRPORT FREEWAY              ")</f>
        <v xml:space="preserve">IH 41 AIRPORT FREEWAY              </v>
      </c>
      <c r="M131" t="str">
        <f>CLEAN("84TH STREET TO N LINCOLN AVE       ")</f>
        <v xml:space="preserve">84TH STREET TO N LINCOLN AVE       </v>
      </c>
      <c r="N131">
        <v>3.61</v>
      </c>
      <c r="O131" t="str">
        <f t="shared" si="46"/>
        <v xml:space="preserve">          </v>
      </c>
      <c r="P131" t="str">
        <f t="shared" si="52"/>
        <v xml:space="preserve">BACKBONE                                                                                            </v>
      </c>
    </row>
    <row r="132" spans="1:16" x14ac:dyDescent="0.25">
      <c r="A132" t="str">
        <f t="shared" si="53"/>
        <v>10</v>
      </c>
      <c r="B132" t="str">
        <f t="shared" si="51"/>
        <v>22</v>
      </c>
      <c r="C132" s="1">
        <v>45925</v>
      </c>
      <c r="D132" t="str">
        <f>CLEAN("1100-21-90")</f>
        <v>1100-21-90</v>
      </c>
      <c r="E132" t="str">
        <f t="shared" si="49"/>
        <v xml:space="preserve">303  </v>
      </c>
      <c r="F132" t="str">
        <f>CLEAN("$750,000 - $999,999      ")</f>
        <v xml:space="preserve">$750,000 - $999,999      </v>
      </c>
      <c r="G132" t="str">
        <f>CLEAN("MIS")</f>
        <v>MIS</v>
      </c>
      <c r="H132" t="str">
        <f t="shared" si="54"/>
        <v>NONLET CONSTR/REAL ESTATE</v>
      </c>
      <c r="I132" t="str">
        <f>CLEAN("TRAFFIC MITIGATION 1100-21-70      ")</f>
        <v xml:space="preserve">TRAFFIC MITIGATION 1100-21-70      </v>
      </c>
      <c r="J132" t="str">
        <f t="shared" si="55"/>
        <v>IH  041</v>
      </c>
      <c r="K132" t="str">
        <f t="shared" si="56"/>
        <v xml:space="preserve">MILWAUKEE                     </v>
      </c>
      <c r="L132" t="str">
        <f>CLEAN("IH 41 ZOO FREEWAY                  ")</f>
        <v xml:space="preserve">IH 41 ZOO FREEWAY                  </v>
      </c>
      <c r="M132" t="str">
        <f>CLEAN("SILVER SPRING DR TO GOOD HOPE RD   ")</f>
        <v xml:space="preserve">SILVER SPRING DR TO GOOD HOPE RD   </v>
      </c>
      <c r="N132">
        <v>5.0599999999999996</v>
      </c>
      <c r="O132" t="str">
        <f t="shared" si="46"/>
        <v xml:space="preserve">          </v>
      </c>
      <c r="P132" t="str">
        <f t="shared" si="52"/>
        <v xml:space="preserve">BACKBONE                                                                                            </v>
      </c>
    </row>
    <row r="133" spans="1:16" x14ac:dyDescent="0.25">
      <c r="A133" t="str">
        <f t="shared" si="53"/>
        <v>10</v>
      </c>
      <c r="B133" t="str">
        <f t="shared" si="51"/>
        <v>22</v>
      </c>
      <c r="C133" s="1">
        <v>45986</v>
      </c>
      <c r="D133" t="str">
        <f>CLEAN("1100-21-91")</f>
        <v>1100-21-91</v>
      </c>
      <c r="E133" t="str">
        <f t="shared" si="49"/>
        <v xml:space="preserve">303  </v>
      </c>
      <c r="F133" t="str">
        <f>CLEAN("$250,000 - $499,999      ")</f>
        <v xml:space="preserve">$250,000 - $499,999      </v>
      </c>
      <c r="G133" t="str">
        <f>CLEAN("SFA")</f>
        <v>SFA</v>
      </c>
      <c r="H133" t="str">
        <f t="shared" si="54"/>
        <v>NONLET CONSTR/REAL ESTATE</v>
      </c>
      <c r="I133" t="str">
        <f>CLEAN("EX-TRAFF MIT 1100-21-71 STATE PTRL ")</f>
        <v xml:space="preserve">EX-TRAFF MIT 1100-21-71 STATE PTRL </v>
      </c>
      <c r="J133" t="str">
        <f t="shared" si="55"/>
        <v>IH  041</v>
      </c>
      <c r="K133" t="str">
        <f t="shared" si="56"/>
        <v xml:space="preserve">MILWAUKEE                     </v>
      </c>
      <c r="L133" t="str">
        <f>CLEAN("ZOO FREEEWAY                       ")</f>
        <v xml:space="preserve">ZOO FREEEWAY                       </v>
      </c>
      <c r="M133" t="str">
        <f>CLEAN("MILL RD BRIDGES (B-40-0348 &amp; 0349) ")</f>
        <v xml:space="preserve">MILL RD BRIDGES (B-40-0348 &amp; 0349) </v>
      </c>
      <c r="N133">
        <v>4.9000000000000002E-2</v>
      </c>
      <c r="O133" t="str">
        <f t="shared" si="46"/>
        <v xml:space="preserve">          </v>
      </c>
      <c r="P133" t="str">
        <f t="shared" si="52"/>
        <v xml:space="preserve">BACKBONE                                                                                            </v>
      </c>
    </row>
    <row r="134" spans="1:16" x14ac:dyDescent="0.25">
      <c r="A134" t="str">
        <f t="shared" si="53"/>
        <v>10</v>
      </c>
      <c r="B134" t="str">
        <f t="shared" si="51"/>
        <v>22</v>
      </c>
      <c r="C134" s="1">
        <v>45986</v>
      </c>
      <c r="D134" t="str">
        <f>CLEAN("1100-21-92")</f>
        <v>1100-21-92</v>
      </c>
      <c r="E134" t="str">
        <f t="shared" si="49"/>
        <v xml:space="preserve">303  </v>
      </c>
      <c r="F134" t="str">
        <f>CLEAN("$250,000 - $499,999      ")</f>
        <v xml:space="preserve">$250,000 - $499,999      </v>
      </c>
      <c r="G134" t="str">
        <f>CLEAN("MIS")</f>
        <v>MIS</v>
      </c>
      <c r="H134" t="str">
        <f t="shared" si="54"/>
        <v>NONLET CONSTR/REAL ESTATE</v>
      </c>
      <c r="I134" t="str">
        <f>CLEAN("EX-TRAFFIC MIT 1100-21-71 FST      ")</f>
        <v xml:space="preserve">EX-TRAFFIC MIT 1100-21-71 FST      </v>
      </c>
      <c r="J134" t="str">
        <f t="shared" si="55"/>
        <v>IH  041</v>
      </c>
      <c r="K134" t="str">
        <f t="shared" si="56"/>
        <v xml:space="preserve">MILWAUKEE                     </v>
      </c>
      <c r="L134" t="str">
        <f>CLEAN("ZOO FREEEWAY                       ")</f>
        <v xml:space="preserve">ZOO FREEEWAY                       </v>
      </c>
      <c r="M134" t="str">
        <f>CLEAN("MILL RD BRIDGES (B-40-0348 &amp; 0349) ")</f>
        <v xml:space="preserve">MILL RD BRIDGES (B-40-0348 &amp; 0349) </v>
      </c>
      <c r="N134">
        <v>4.9000000000000002E-2</v>
      </c>
      <c r="O134" t="str">
        <f t="shared" si="46"/>
        <v xml:space="preserve">          </v>
      </c>
      <c r="P134" t="str">
        <f t="shared" si="52"/>
        <v xml:space="preserve">BACKBONE                                                                                            </v>
      </c>
    </row>
    <row r="135" spans="1:16" x14ac:dyDescent="0.25">
      <c r="A135" t="str">
        <f t="shared" si="53"/>
        <v>10</v>
      </c>
      <c r="B135" t="str">
        <f t="shared" si="51"/>
        <v>22</v>
      </c>
      <c r="C135" s="1">
        <v>45894</v>
      </c>
      <c r="D135" t="str">
        <f>CLEAN("1100-35-21")</f>
        <v>1100-35-21</v>
      </c>
      <c r="E135" t="str">
        <f t="shared" si="49"/>
        <v xml:space="preserve">303  </v>
      </c>
      <c r="F135" t="str">
        <f>CLEAN("$0 - $99,999             ")</f>
        <v xml:space="preserve">$0 - $99,999             </v>
      </c>
      <c r="G135" t="str">
        <f>CLEAN("R/E")</f>
        <v>R/E</v>
      </c>
      <c r="H135" t="str">
        <f t="shared" si="54"/>
        <v>NONLET CONSTR/REAL ESTATE</v>
      </c>
      <c r="I135" t="str">
        <f>CLEAN("RE/BRRPL                           ")</f>
        <v xml:space="preserve">RE/BRRPL                           </v>
      </c>
      <c r="J135" t="str">
        <f t="shared" si="55"/>
        <v>IH  041</v>
      </c>
      <c r="K135" t="str">
        <f t="shared" si="56"/>
        <v xml:space="preserve">MILWAUKEE                     </v>
      </c>
      <c r="L135" t="str">
        <f>CLEAN("IH 41 ZOO FREEWAY                  ")</f>
        <v xml:space="preserve">IH 41 ZOO FREEWAY                  </v>
      </c>
      <c r="M135" t="str">
        <f>CLEAN("HOWARD AVE TO UPRR                 ")</f>
        <v xml:space="preserve">HOWARD AVE TO UPRR                 </v>
      </c>
      <c r="N135">
        <v>2.544</v>
      </c>
      <c r="O135" t="str">
        <f t="shared" si="46"/>
        <v xml:space="preserve">          </v>
      </c>
      <c r="P135" t="str">
        <f t="shared" si="52"/>
        <v xml:space="preserve">BACKBONE                                                                                            </v>
      </c>
    </row>
    <row r="136" spans="1:16" x14ac:dyDescent="0.25">
      <c r="A136" t="str">
        <f t="shared" si="53"/>
        <v>10</v>
      </c>
      <c r="B136" t="str">
        <f t="shared" si="51"/>
        <v>22</v>
      </c>
      <c r="C136" s="1">
        <v>45925</v>
      </c>
      <c r="D136" t="str">
        <f>CLEAN("1100-45-91")</f>
        <v>1100-45-91</v>
      </c>
      <c r="E136" t="str">
        <f t="shared" si="49"/>
        <v xml:space="preserve">303  </v>
      </c>
      <c r="F136" t="str">
        <f>CLEAN("$0 - $99,999             ")</f>
        <v xml:space="preserve">$0 - $99,999             </v>
      </c>
      <c r="G136" t="str">
        <f>CLEAN("MIS")</f>
        <v>MIS</v>
      </c>
      <c r="H136" t="str">
        <f t="shared" si="54"/>
        <v>NONLET CONSTR/REAL ESTATE</v>
      </c>
      <c r="I136" t="str">
        <f>CLEAN("TRAFFIC MITIGATION 1100-45-70      ")</f>
        <v xml:space="preserve">TRAFFIC MITIGATION 1100-45-70      </v>
      </c>
      <c r="J136" t="str">
        <f>CLEAN("IH  043")</f>
        <v>IH  043</v>
      </c>
      <c r="K136" t="str">
        <f t="shared" si="56"/>
        <v xml:space="preserve">MILWAUKEE                     </v>
      </c>
      <c r="L136" t="str">
        <f>CLEAN("IH 41 AIRPORT FREEWAY              ")</f>
        <v xml:space="preserve">IH 41 AIRPORT FREEWAY              </v>
      </c>
      <c r="M136" t="str">
        <f>CLEAN("84TH ST TO 35TH ST (MAINLINE)      ")</f>
        <v xml:space="preserve">84TH ST TO 35TH ST (MAINLINE)      </v>
      </c>
      <c r="N136">
        <v>0</v>
      </c>
      <c r="O136" t="str">
        <f t="shared" si="46"/>
        <v xml:space="preserve">          </v>
      </c>
      <c r="P136" t="str">
        <f t="shared" si="52"/>
        <v xml:space="preserve">BACKBONE                                                                                            </v>
      </c>
    </row>
    <row r="137" spans="1:16" x14ac:dyDescent="0.25">
      <c r="A137" t="str">
        <f t="shared" si="53"/>
        <v>10</v>
      </c>
      <c r="B137" t="str">
        <f t="shared" ref="B137:B172" si="57">CLEAN("23")</f>
        <v>23</v>
      </c>
      <c r="C137" s="1">
        <v>45894</v>
      </c>
      <c r="D137" t="str">
        <f>CLEAN("1100-56-21")</f>
        <v>1100-56-21</v>
      </c>
      <c r="E137" t="str">
        <f t="shared" si="49"/>
        <v xml:space="preserve">303  </v>
      </c>
      <c r="F137" t="str">
        <f>CLEAN("$0 - $99,999             ")</f>
        <v xml:space="preserve">$0 - $99,999             </v>
      </c>
      <c r="G137" t="str">
        <f>CLEAN("R/E")</f>
        <v>R/E</v>
      </c>
      <c r="H137" t="str">
        <f t="shared" si="54"/>
        <v>NONLET CONSTR/REAL ESTATE</v>
      </c>
      <c r="I137" t="str">
        <f>CLEAN("RE OPS/PSRS30                      ")</f>
        <v xml:space="preserve">RE OPS/PSRS30                      </v>
      </c>
      <c r="J137" t="str">
        <f t="shared" ref="J137:J144" si="58">CLEAN("IH  041")</f>
        <v>IH  041</v>
      </c>
      <c r="K137" t="str">
        <f>CLEAN("FOND DU LAC                   ")</f>
        <v xml:space="preserve">FOND DU LAC                   </v>
      </c>
      <c r="L137" t="str">
        <f>CLEAN("FOND DU LAC - OSHKOSH              ")</f>
        <v xml:space="preserve">FOND DU LAC - OSHKOSH              </v>
      </c>
      <c r="M137" t="str">
        <f>CLEAN("USH 151 - CTH D                    ")</f>
        <v xml:space="preserve">USH 151 - CTH D                    </v>
      </c>
      <c r="N137">
        <v>2.2690000000000001</v>
      </c>
      <c r="O137" t="str">
        <f t="shared" si="46"/>
        <v xml:space="preserve">          </v>
      </c>
      <c r="P137" t="str">
        <f t="shared" si="52"/>
        <v xml:space="preserve">BACKBONE                                                                                            </v>
      </c>
    </row>
    <row r="138" spans="1:16" x14ac:dyDescent="0.25">
      <c r="A138" t="str">
        <f t="shared" si="53"/>
        <v>10</v>
      </c>
      <c r="B138" t="str">
        <f t="shared" si="57"/>
        <v>23</v>
      </c>
      <c r="C138" s="1">
        <v>46078</v>
      </c>
      <c r="D138" t="str">
        <f>CLEAN("1130-63-21")</f>
        <v>1130-63-21</v>
      </c>
      <c r="E138" t="str">
        <f t="shared" ref="E138:E170" si="59">CLEAN("302  ")</f>
        <v xml:space="preserve">302  </v>
      </c>
      <c r="F138" t="str">
        <f>CLEAN("$5,000,000 - $5,999,999  ")</f>
        <v xml:space="preserve">$5,000,000 - $5,999,999  </v>
      </c>
      <c r="G138" t="str">
        <f>CLEAN("R/E")</f>
        <v>R/E</v>
      </c>
      <c r="H138" t="str">
        <f t="shared" si="54"/>
        <v>NONLET CONSTR/REAL ESTATE</v>
      </c>
      <c r="I138" t="str">
        <f>CLEAN("RE OPS/RE ACQUISITION              ")</f>
        <v xml:space="preserve">RE OPS/RE ACQUISITION              </v>
      </c>
      <c r="J138" t="str">
        <f t="shared" si="58"/>
        <v>IH  041</v>
      </c>
      <c r="K138" t="str">
        <f t="shared" ref="K138:K170" si="60">CLEAN("OUTAGAMIE                     ")</f>
        <v xml:space="preserve">OUTAGAMIE                     </v>
      </c>
      <c r="L138" t="str">
        <f t="shared" ref="L138:L170" si="61">CLEAN("APPLETON - DE PERE                 ")</f>
        <v xml:space="preserve">APPLETON - DE PERE                 </v>
      </c>
      <c r="M138" t="str">
        <f>CLEAN("STH 96 - CTH F                     ")</f>
        <v xml:space="preserve">STH 96 - CTH F                     </v>
      </c>
      <c r="N138">
        <v>23.596</v>
      </c>
      <c r="O138" t="str">
        <f t="shared" si="46"/>
        <v xml:space="preserve">          </v>
      </c>
      <c r="P138" t="str">
        <f>CLEAN("MAJORS                                                                                              ")</f>
        <v xml:space="preserve">MAJORS                                                                                              </v>
      </c>
    </row>
    <row r="139" spans="1:16" x14ac:dyDescent="0.25">
      <c r="A139" t="str">
        <f t="shared" si="53"/>
        <v>10</v>
      </c>
      <c r="B139" t="str">
        <f t="shared" si="57"/>
        <v>23</v>
      </c>
      <c r="C139" s="1">
        <v>46078</v>
      </c>
      <c r="D139" t="str">
        <f>CLEAN("1130-63-89")</f>
        <v>1130-63-89</v>
      </c>
      <c r="E139" t="str">
        <f t="shared" si="59"/>
        <v xml:space="preserve">302  </v>
      </c>
      <c r="F139" t="str">
        <f>CLEAN("$100,000-$249,999        ")</f>
        <v xml:space="preserve">$100,000-$249,999        </v>
      </c>
      <c r="G139" t="str">
        <f>CLEAN("MIS")</f>
        <v>MIS</v>
      </c>
      <c r="H139" t="str">
        <f t="shared" si="54"/>
        <v>NONLET CONSTR/REAL ESTATE</v>
      </c>
      <c r="I139" t="str">
        <f>CLEAN("ITS (FURNISHED)                    ")</f>
        <v xml:space="preserve">ITS (FURNISHED)                    </v>
      </c>
      <c r="J139" t="str">
        <f t="shared" si="58"/>
        <v>IH  041</v>
      </c>
      <c r="K139" t="str">
        <f t="shared" si="60"/>
        <v xml:space="preserve">OUTAGAMIE                     </v>
      </c>
      <c r="L139" t="str">
        <f t="shared" si="61"/>
        <v xml:space="preserve">APPLETON - DE PERE                 </v>
      </c>
      <c r="M139" t="str">
        <f>CLEAN("USH 96 - CTH F                     ")</f>
        <v xml:space="preserve">USH 96 - CTH F                     </v>
      </c>
      <c r="N139">
        <v>23.596</v>
      </c>
      <c r="O139" t="str">
        <f t="shared" si="46"/>
        <v xml:space="preserve">          </v>
      </c>
      <c r="P139" t="str">
        <f>CLEAN("MAJORS                                                                                              ")</f>
        <v xml:space="preserve">MAJORS                                                                                              </v>
      </c>
    </row>
    <row r="140" spans="1:16" x14ac:dyDescent="0.25">
      <c r="A140" t="str">
        <f t="shared" si="53"/>
        <v>10</v>
      </c>
      <c r="B140" t="str">
        <f t="shared" si="57"/>
        <v>23</v>
      </c>
      <c r="C140" s="1">
        <v>46078</v>
      </c>
      <c r="D140" t="str">
        <f>CLEAN("1130-63-90")</f>
        <v>1130-63-90</v>
      </c>
      <c r="E140" t="str">
        <f t="shared" si="59"/>
        <v xml:space="preserve">302  </v>
      </c>
      <c r="F140" t="str">
        <f>CLEAN("$750,000 - $999,999      ")</f>
        <v xml:space="preserve">$750,000 - $999,999      </v>
      </c>
      <c r="G140" t="str">
        <f>CLEAN("MIS")</f>
        <v>MIS</v>
      </c>
      <c r="H140" t="str">
        <f t="shared" si="54"/>
        <v>NONLET CONSTR/REAL ESTATE</v>
      </c>
      <c r="I140" t="str">
        <f>CLEAN("IH 41 FREEWAY SERVICE TEAM         ")</f>
        <v xml:space="preserve">IH 41 FREEWAY SERVICE TEAM         </v>
      </c>
      <c r="J140" t="str">
        <f t="shared" si="58"/>
        <v>IH  041</v>
      </c>
      <c r="K140" t="str">
        <f t="shared" si="60"/>
        <v xml:space="preserve">OUTAGAMIE                     </v>
      </c>
      <c r="L140" t="str">
        <f t="shared" si="61"/>
        <v xml:space="preserve">APPLETON - DE PERE                 </v>
      </c>
      <c r="M140" t="str">
        <f>CLEAN("USH 96 - CTH F                     ")</f>
        <v xml:space="preserve">USH 96 - CTH F                     </v>
      </c>
      <c r="N140">
        <v>23.596</v>
      </c>
      <c r="O140" t="str">
        <f t="shared" si="46"/>
        <v xml:space="preserve">          </v>
      </c>
      <c r="P140" t="str">
        <f>CLEAN("MAJORS                                                                                              ")</f>
        <v xml:space="preserve">MAJORS                                                                                              </v>
      </c>
    </row>
    <row r="141" spans="1:16" x14ac:dyDescent="0.25">
      <c r="A141" t="str">
        <f t="shared" si="53"/>
        <v>10</v>
      </c>
      <c r="B141" t="str">
        <f t="shared" si="57"/>
        <v>23</v>
      </c>
      <c r="C141" s="1">
        <v>46078</v>
      </c>
      <c r="D141" t="str">
        <f>CLEAN("1130-63-93")</f>
        <v>1130-63-93</v>
      </c>
      <c r="E141" t="str">
        <f t="shared" si="59"/>
        <v xml:space="preserve">302  </v>
      </c>
      <c r="F141" t="str">
        <f>CLEAN("$500,000 - $749,999      ")</f>
        <v xml:space="preserve">$500,000 - $749,999      </v>
      </c>
      <c r="G141" t="str">
        <f>CLEAN("SFA")</f>
        <v>SFA</v>
      </c>
      <c r="H141" t="str">
        <f t="shared" si="54"/>
        <v>NONLET CONSTR/REAL ESTATE</v>
      </c>
      <c r="I141" t="str">
        <f>CLEAN("LAW ENFORCMNT MITIGATION 1130-64-76")</f>
        <v>LAW ENFORCMNT MITIGATION 1130-64-76</v>
      </c>
      <c r="J141" t="str">
        <f t="shared" si="58"/>
        <v>IH  041</v>
      </c>
      <c r="K141" t="str">
        <f t="shared" si="60"/>
        <v xml:space="preserve">OUTAGAMIE                     </v>
      </c>
      <c r="L141" t="str">
        <f t="shared" si="61"/>
        <v xml:space="preserve">APPLETON - DE PERE                 </v>
      </c>
      <c r="M141" t="str">
        <f>CLEAN("USH 96 - CTH F                     ")</f>
        <v xml:space="preserve">USH 96 - CTH F                     </v>
      </c>
      <c r="N141">
        <v>23.596</v>
      </c>
      <c r="O141" t="str">
        <f t="shared" si="46"/>
        <v xml:space="preserve">          </v>
      </c>
      <c r="P141" t="str">
        <f>CLEAN("MAJORS                                                                                              ")</f>
        <v xml:space="preserve">MAJORS                                                                                              </v>
      </c>
    </row>
    <row r="142" spans="1:16" x14ac:dyDescent="0.25">
      <c r="A142" t="str">
        <f t="shared" si="53"/>
        <v>10</v>
      </c>
      <c r="B142" t="str">
        <f t="shared" si="57"/>
        <v>23</v>
      </c>
      <c r="C142" s="1">
        <v>45894</v>
      </c>
      <c r="D142" t="str">
        <f>CLEAN("1130-64-40")</f>
        <v>1130-64-40</v>
      </c>
      <c r="E142" t="str">
        <f t="shared" si="59"/>
        <v xml:space="preserve">302  </v>
      </c>
      <c r="F142" t="str">
        <f>CLEAN("$0 - $99,999             ")</f>
        <v xml:space="preserve">$0 - $99,999             </v>
      </c>
      <c r="G142" t="str">
        <f>CLEAN("UTL")</f>
        <v>UTL</v>
      </c>
      <c r="H142" t="str">
        <f t="shared" si="54"/>
        <v>NONLET CONSTR/REAL ESTATE</v>
      </c>
      <c r="I142" t="str">
        <f>CLEAN("UTL/WATER HYDRANT RELOCATION UA 616")</f>
        <v>UTL/WATER HYDRANT RELOCATION UA 616</v>
      </c>
      <c r="J142" t="str">
        <f t="shared" si="58"/>
        <v>IH  041</v>
      </c>
      <c r="K142" t="str">
        <f t="shared" si="60"/>
        <v xml:space="preserve">OUTAGAMIE                     </v>
      </c>
      <c r="L142" t="str">
        <f t="shared" si="61"/>
        <v xml:space="preserve">APPLETON - DE PERE                 </v>
      </c>
      <c r="M142" t="str">
        <f>CLEAN("RICHMOND ST (WIS 47) INTCHG        ")</f>
        <v xml:space="preserve">RICHMOND ST (WIS 47) INTCHG        </v>
      </c>
      <c r="N142">
        <v>5.14</v>
      </c>
      <c r="O142" t="str">
        <f t="shared" si="46"/>
        <v xml:space="preserve">          </v>
      </c>
      <c r="P142" t="str">
        <f>CLEAN("MAJORS                                                                                              ")</f>
        <v xml:space="preserve">MAJORS                                                                                              </v>
      </c>
    </row>
    <row r="143" spans="1:16" x14ac:dyDescent="0.25">
      <c r="A143" t="str">
        <f t="shared" si="53"/>
        <v>10</v>
      </c>
      <c r="B143" t="str">
        <f t="shared" si="57"/>
        <v>23</v>
      </c>
      <c r="C143" s="1">
        <v>46063</v>
      </c>
      <c r="D143" t="str">
        <f>CLEAN("1130-64-73")</f>
        <v>1130-64-73</v>
      </c>
      <c r="E143" t="str">
        <f t="shared" si="59"/>
        <v xml:space="preserve">302  </v>
      </c>
      <c r="F143" t="str">
        <f>CLEAN("$70,000,000 - $79,999,999")</f>
        <v>$70,000,000 - $79,999,999</v>
      </c>
      <c r="G143" t="str">
        <f t="shared" ref="G143:G167" si="62">CLEAN("LET")</f>
        <v>LET</v>
      </c>
      <c r="H143" t="str">
        <f t="shared" ref="H143:H167" si="63">CLEAN("LET CONSTRUCTION         ")</f>
        <v xml:space="preserve">LET CONSTRUCTION         </v>
      </c>
      <c r="I143" t="str">
        <f>CLEAN("CONST/RECSTE MNLINE,LYNNDALE-MEADE ")</f>
        <v xml:space="preserve">CONST/RECSTE MNLINE,LYNNDALE-MEADE </v>
      </c>
      <c r="J143" t="str">
        <f t="shared" si="58"/>
        <v>IH  041</v>
      </c>
      <c r="K143" t="str">
        <f t="shared" si="60"/>
        <v xml:space="preserve">OUTAGAMIE                     </v>
      </c>
      <c r="L143" t="str">
        <f t="shared" si="61"/>
        <v xml:space="preserve">APPLETON - DE PERE                 </v>
      </c>
      <c r="M143" t="str">
        <f>CLEAN("I-41 MAINLINE, LYNNDALE-MEADE      ")</f>
        <v xml:space="preserve">I-41 MAINLINE, LYNNDALE-MEADE      </v>
      </c>
      <c r="N143">
        <v>3.073</v>
      </c>
      <c r="O143" t="str">
        <f>CLEAN("1130-64-77")</f>
        <v>1130-64-77</v>
      </c>
      <c r="P143" t="str">
        <f>CLEAN("COMMUNITY SENSITIVE DESIGN                                                                          ")</f>
        <v xml:space="preserve">COMMUNITY SENSITIVE DESIGN                                                                          </v>
      </c>
    </row>
    <row r="144" spans="1:16" x14ac:dyDescent="0.25">
      <c r="A144" t="str">
        <f t="shared" si="53"/>
        <v>10</v>
      </c>
      <c r="B144" t="str">
        <f t="shared" si="57"/>
        <v>23</v>
      </c>
      <c r="C144" s="1">
        <v>46063</v>
      </c>
      <c r="D144" t="str">
        <f>CLEAN("1130-64-73")</f>
        <v>1130-64-73</v>
      </c>
      <c r="E144" t="str">
        <f t="shared" si="59"/>
        <v xml:space="preserve">302  </v>
      </c>
      <c r="F144" t="str">
        <f>CLEAN("$70,000,000 - $79,999,999")</f>
        <v>$70,000,000 - $79,999,999</v>
      </c>
      <c r="G144" t="str">
        <f t="shared" si="62"/>
        <v>LET</v>
      </c>
      <c r="H144" t="str">
        <f t="shared" si="63"/>
        <v xml:space="preserve">LET CONSTRUCTION         </v>
      </c>
      <c r="I144" t="str">
        <f>CLEAN("CONST/RECSTE MNLINE,LYNNDALE-MEADE ")</f>
        <v xml:space="preserve">CONST/RECSTE MNLINE,LYNNDALE-MEADE </v>
      </c>
      <c r="J144" t="str">
        <f t="shared" si="58"/>
        <v>IH  041</v>
      </c>
      <c r="K144" t="str">
        <f t="shared" si="60"/>
        <v xml:space="preserve">OUTAGAMIE                     </v>
      </c>
      <c r="L144" t="str">
        <f t="shared" si="61"/>
        <v xml:space="preserve">APPLETON - DE PERE                 </v>
      </c>
      <c r="M144" t="str">
        <f>CLEAN("I-41 MAINLINE, LYNNDALE-MEADE      ")</f>
        <v xml:space="preserve">I-41 MAINLINE, LYNNDALE-MEADE      </v>
      </c>
      <c r="N144">
        <v>3.073</v>
      </c>
      <c r="O144" t="str">
        <f>CLEAN("1130-64-77")</f>
        <v>1130-64-77</v>
      </c>
      <c r="P144" t="str">
        <f t="shared" ref="P144:P165" si="64">CLEAN("MAJORS                                                                                              ")</f>
        <v xml:space="preserve">MAJORS                                                                                              </v>
      </c>
    </row>
    <row r="145" spans="1:16" x14ac:dyDescent="0.25">
      <c r="A145" t="str">
        <f t="shared" si="53"/>
        <v>10</v>
      </c>
      <c r="B145" t="str">
        <f t="shared" si="57"/>
        <v>23</v>
      </c>
      <c r="C145" s="1">
        <v>46063</v>
      </c>
      <c r="D145" t="str">
        <f>CLEAN("1130-64-77")</f>
        <v>1130-64-77</v>
      </c>
      <c r="E145" t="str">
        <f t="shared" si="59"/>
        <v xml:space="preserve">302  </v>
      </c>
      <c r="F145" t="str">
        <f>CLEAN("$15,000,000 - $16,999,999")</f>
        <v>$15,000,000 - $16,999,999</v>
      </c>
      <c r="G145" t="str">
        <f t="shared" si="62"/>
        <v>LET</v>
      </c>
      <c r="H145" t="str">
        <f t="shared" si="63"/>
        <v xml:space="preserve">LET CONSTRUCTION         </v>
      </c>
      <c r="I145" t="str">
        <f>CLEAN("CONST/RECSTE STH 47 INTCHG         ")</f>
        <v xml:space="preserve">CONST/RECSTE STH 47 INTCHG         </v>
      </c>
      <c r="J145" t="str">
        <f>CLEAN("STH 047")</f>
        <v>STH 047</v>
      </c>
      <c r="K145" t="str">
        <f t="shared" si="60"/>
        <v xml:space="preserve">OUTAGAMIE                     </v>
      </c>
      <c r="L145" t="str">
        <f t="shared" si="61"/>
        <v xml:space="preserve">APPLETON - DE PERE                 </v>
      </c>
      <c r="M145" t="str">
        <f>CLEAN("RICHMOND ST (WIS 47) INTCHG        ")</f>
        <v xml:space="preserve">RICHMOND ST (WIS 47) INTCHG        </v>
      </c>
      <c r="N145">
        <v>0.48</v>
      </c>
      <c r="O145" t="str">
        <f>CLEAN("1130-64-73")</f>
        <v>1130-64-73</v>
      </c>
      <c r="P145" t="str">
        <f t="shared" si="64"/>
        <v xml:space="preserve">MAJORS                                                                                              </v>
      </c>
    </row>
    <row r="146" spans="1:16" x14ac:dyDescent="0.25">
      <c r="A146" t="str">
        <f t="shared" si="53"/>
        <v>10</v>
      </c>
      <c r="B146" t="str">
        <f t="shared" si="57"/>
        <v>23</v>
      </c>
      <c r="C146" s="1">
        <v>46217</v>
      </c>
      <c r="D146" t="str">
        <f>CLEAN("1130-65-71")</f>
        <v>1130-65-71</v>
      </c>
      <c r="E146" t="str">
        <f t="shared" si="59"/>
        <v xml:space="preserve">302  </v>
      </c>
      <c r="F146" t="str">
        <f>CLEAN("$30,000,000 - $34,999,999")</f>
        <v>$30,000,000 - $34,999,999</v>
      </c>
      <c r="G146" t="str">
        <f t="shared" si="62"/>
        <v>LET</v>
      </c>
      <c r="H146" t="str">
        <f t="shared" si="63"/>
        <v xml:space="preserve">LET CONSTRUCTION         </v>
      </c>
      <c r="I146" t="str">
        <f>CLEAN("CONST/RECSTE MAINLINE MEADE-BALLARD")</f>
        <v>CONST/RECSTE MAINLINE MEADE-BALLARD</v>
      </c>
      <c r="J146" t="str">
        <f t="shared" ref="J146:J157" si="65">CLEAN("IH  041")</f>
        <v>IH  041</v>
      </c>
      <c r="K146" t="str">
        <f t="shared" si="60"/>
        <v xml:space="preserve">OUTAGAMIE                     </v>
      </c>
      <c r="L146" t="str">
        <f t="shared" si="61"/>
        <v xml:space="preserve">APPLETON - DE PERE                 </v>
      </c>
      <c r="M146" t="str">
        <f>CLEAN("I-41 MAINLINE, MEADE ST-BALLARD RD ")</f>
        <v xml:space="preserve">I-41 MAINLINE, MEADE ST-BALLARD RD </v>
      </c>
      <c r="N146">
        <v>1.01</v>
      </c>
      <c r="O146" t="str">
        <f>CLEAN("1130-65-72")</f>
        <v>1130-65-72</v>
      </c>
      <c r="P146" t="str">
        <f t="shared" si="64"/>
        <v xml:space="preserve">MAJORS                                                                                              </v>
      </c>
    </row>
    <row r="147" spans="1:16" x14ac:dyDescent="0.25">
      <c r="A147" t="str">
        <f t="shared" si="53"/>
        <v>10</v>
      </c>
      <c r="B147" t="str">
        <f t="shared" si="57"/>
        <v>23</v>
      </c>
      <c r="C147" s="1">
        <v>46217</v>
      </c>
      <c r="D147" t="str">
        <f>CLEAN("1130-65-71")</f>
        <v>1130-65-71</v>
      </c>
      <c r="E147" t="str">
        <f t="shared" si="59"/>
        <v xml:space="preserve">302  </v>
      </c>
      <c r="F147" t="str">
        <f>CLEAN("$30,000,000 - $34,999,999")</f>
        <v>$30,000,000 - $34,999,999</v>
      </c>
      <c r="G147" t="str">
        <f t="shared" si="62"/>
        <v>LET</v>
      </c>
      <c r="H147" t="str">
        <f t="shared" si="63"/>
        <v xml:space="preserve">LET CONSTRUCTION         </v>
      </c>
      <c r="I147" t="str">
        <f>CLEAN("CONST/RECSTE MAINLINE MEADE-BALLARD")</f>
        <v>CONST/RECSTE MAINLINE MEADE-BALLARD</v>
      </c>
      <c r="J147" t="str">
        <f t="shared" si="65"/>
        <v>IH  041</v>
      </c>
      <c r="K147" t="str">
        <f t="shared" si="60"/>
        <v xml:space="preserve">OUTAGAMIE                     </v>
      </c>
      <c r="L147" t="str">
        <f t="shared" si="61"/>
        <v xml:space="preserve">APPLETON - DE PERE                 </v>
      </c>
      <c r="M147" t="str">
        <f>CLEAN("I-41 MAINLINE, MEADE ST-BALLARD RD ")</f>
        <v xml:space="preserve">I-41 MAINLINE, MEADE ST-BALLARD RD </v>
      </c>
      <c r="N147">
        <v>1.01</v>
      </c>
      <c r="O147" t="str">
        <f>CLEAN("1130-65-73")</f>
        <v>1130-65-73</v>
      </c>
      <c r="P147" t="str">
        <f t="shared" si="64"/>
        <v xml:space="preserve">MAJORS                                                                                              </v>
      </c>
    </row>
    <row r="148" spans="1:16" x14ac:dyDescent="0.25">
      <c r="A148" t="str">
        <f t="shared" si="53"/>
        <v>10</v>
      </c>
      <c r="B148" t="str">
        <f t="shared" si="57"/>
        <v>23</v>
      </c>
      <c r="C148" s="1">
        <v>46217</v>
      </c>
      <c r="D148" t="str">
        <f>CLEAN("1130-65-71")</f>
        <v>1130-65-71</v>
      </c>
      <c r="E148" t="str">
        <f t="shared" si="59"/>
        <v xml:space="preserve">302  </v>
      </c>
      <c r="F148" t="str">
        <f>CLEAN("$30,000,000 - $34,999,999")</f>
        <v>$30,000,000 - $34,999,999</v>
      </c>
      <c r="G148" t="str">
        <f t="shared" si="62"/>
        <v>LET</v>
      </c>
      <c r="H148" t="str">
        <f t="shared" si="63"/>
        <v xml:space="preserve">LET CONSTRUCTION         </v>
      </c>
      <c r="I148" t="str">
        <f>CLEAN("CONST/RECSTE MAINLINE MEADE-BALLARD")</f>
        <v>CONST/RECSTE MAINLINE MEADE-BALLARD</v>
      </c>
      <c r="J148" t="str">
        <f t="shared" si="65"/>
        <v>IH  041</v>
      </c>
      <c r="K148" t="str">
        <f t="shared" si="60"/>
        <v xml:space="preserve">OUTAGAMIE                     </v>
      </c>
      <c r="L148" t="str">
        <f t="shared" si="61"/>
        <v xml:space="preserve">APPLETON - DE PERE                 </v>
      </c>
      <c r="M148" t="str">
        <f>CLEAN("I-41 MAINLINE, MEADE ST-BALLARD RD ")</f>
        <v xml:space="preserve">I-41 MAINLINE, MEADE ST-BALLARD RD </v>
      </c>
      <c r="N148">
        <v>1.01</v>
      </c>
      <c r="O148" t="str">
        <f>CLEAN("1130-65-74")</f>
        <v>1130-65-74</v>
      </c>
      <c r="P148" t="str">
        <f t="shared" si="64"/>
        <v xml:space="preserve">MAJORS                                                                                              </v>
      </c>
    </row>
    <row r="149" spans="1:16" x14ac:dyDescent="0.25">
      <c r="A149" t="str">
        <f t="shared" si="53"/>
        <v>10</v>
      </c>
      <c r="B149" t="str">
        <f t="shared" si="57"/>
        <v>23</v>
      </c>
      <c r="C149" s="1">
        <v>46217</v>
      </c>
      <c r="D149" t="str">
        <f>CLEAN("1130-65-71")</f>
        <v>1130-65-71</v>
      </c>
      <c r="E149" t="str">
        <f t="shared" si="59"/>
        <v xml:space="preserve">302  </v>
      </c>
      <c r="F149" t="str">
        <f>CLEAN("$30,000,000 - $34,999,999")</f>
        <v>$30,000,000 - $34,999,999</v>
      </c>
      <c r="G149" t="str">
        <f t="shared" si="62"/>
        <v>LET</v>
      </c>
      <c r="H149" t="str">
        <f t="shared" si="63"/>
        <v xml:space="preserve">LET CONSTRUCTION         </v>
      </c>
      <c r="I149" t="str">
        <f>CLEAN("CONST/RECSTE MAINLINE MEADE-BALLARD")</f>
        <v>CONST/RECSTE MAINLINE MEADE-BALLARD</v>
      </c>
      <c r="J149" t="str">
        <f t="shared" si="65"/>
        <v>IH  041</v>
      </c>
      <c r="K149" t="str">
        <f t="shared" si="60"/>
        <v xml:space="preserve">OUTAGAMIE                     </v>
      </c>
      <c r="L149" t="str">
        <f t="shared" si="61"/>
        <v xml:space="preserve">APPLETON - DE PERE                 </v>
      </c>
      <c r="M149" t="str">
        <f>CLEAN("I-41 MAINLINE, MEADE ST-BALLARD RD ")</f>
        <v xml:space="preserve">I-41 MAINLINE, MEADE ST-BALLARD RD </v>
      </c>
      <c r="N149">
        <v>1.01</v>
      </c>
      <c r="O149" t="str">
        <f>CLEAN("1130-65-78")</f>
        <v>1130-65-78</v>
      </c>
      <c r="P149" t="str">
        <f t="shared" si="64"/>
        <v xml:space="preserve">MAJORS                                                                                              </v>
      </c>
    </row>
    <row r="150" spans="1:16" x14ac:dyDescent="0.25">
      <c r="A150" t="str">
        <f t="shared" si="53"/>
        <v>10</v>
      </c>
      <c r="B150" t="str">
        <f t="shared" si="57"/>
        <v>23</v>
      </c>
      <c r="C150" s="1">
        <v>46217</v>
      </c>
      <c r="D150" t="str">
        <f>CLEAN("1130-65-72")</f>
        <v>1130-65-72</v>
      </c>
      <c r="E150" t="str">
        <f t="shared" si="59"/>
        <v xml:space="preserve">302  </v>
      </c>
      <c r="F150" t="str">
        <f>CLEAN("$25,000,000 - $29,999,999")</f>
        <v>$25,000,000 - $29,999,999</v>
      </c>
      <c r="G150" t="str">
        <f t="shared" si="62"/>
        <v>LET</v>
      </c>
      <c r="H150" t="str">
        <f t="shared" si="63"/>
        <v xml:space="preserve">LET CONSTRUCTION         </v>
      </c>
      <c r="I150" t="str">
        <f>CLEAN("CONST/RECSTE MNLINE, BALLARD-FRENCH")</f>
        <v>CONST/RECSTE MNLINE, BALLARD-FRENCH</v>
      </c>
      <c r="J150" t="str">
        <f t="shared" si="65"/>
        <v>IH  041</v>
      </c>
      <c r="K150" t="str">
        <f t="shared" si="60"/>
        <v xml:space="preserve">OUTAGAMIE                     </v>
      </c>
      <c r="L150" t="str">
        <f t="shared" si="61"/>
        <v xml:space="preserve">APPLETON - DE PERE                 </v>
      </c>
      <c r="M150" t="str">
        <f>CLEAN("I-41 MAINLINE, BALLARD - FRENCH    ")</f>
        <v xml:space="preserve">I-41 MAINLINE, BALLARD - FRENCH    </v>
      </c>
      <c r="N150">
        <v>1.05</v>
      </c>
      <c r="O150" t="str">
        <f>CLEAN("1130-65-71")</f>
        <v>1130-65-71</v>
      </c>
      <c r="P150" t="str">
        <f t="shared" si="64"/>
        <v xml:space="preserve">MAJORS                                                                                              </v>
      </c>
    </row>
    <row r="151" spans="1:16" x14ac:dyDescent="0.25">
      <c r="A151" t="str">
        <f t="shared" si="53"/>
        <v>10</v>
      </c>
      <c r="B151" t="str">
        <f t="shared" si="57"/>
        <v>23</v>
      </c>
      <c r="C151" s="1">
        <v>46217</v>
      </c>
      <c r="D151" t="str">
        <f>CLEAN("1130-65-72")</f>
        <v>1130-65-72</v>
      </c>
      <c r="E151" t="str">
        <f t="shared" si="59"/>
        <v xml:space="preserve">302  </v>
      </c>
      <c r="F151" t="str">
        <f>CLEAN("$25,000,000 - $29,999,999")</f>
        <v>$25,000,000 - $29,999,999</v>
      </c>
      <c r="G151" t="str">
        <f t="shared" si="62"/>
        <v>LET</v>
      </c>
      <c r="H151" t="str">
        <f t="shared" si="63"/>
        <v xml:space="preserve">LET CONSTRUCTION         </v>
      </c>
      <c r="I151" t="str">
        <f>CLEAN("CONST/RECSTE MNLINE, BALLARD-FRENCH")</f>
        <v>CONST/RECSTE MNLINE, BALLARD-FRENCH</v>
      </c>
      <c r="J151" t="str">
        <f t="shared" si="65"/>
        <v>IH  041</v>
      </c>
      <c r="K151" t="str">
        <f t="shared" si="60"/>
        <v xml:space="preserve">OUTAGAMIE                     </v>
      </c>
      <c r="L151" t="str">
        <f t="shared" si="61"/>
        <v xml:space="preserve">APPLETON - DE PERE                 </v>
      </c>
      <c r="M151" t="str">
        <f>CLEAN("I-41 MAINLINE, BALLARD - FRENCH    ")</f>
        <v xml:space="preserve">I-41 MAINLINE, BALLARD - FRENCH    </v>
      </c>
      <c r="N151">
        <v>1.05</v>
      </c>
      <c r="O151" t="str">
        <f>CLEAN("1130-65-73")</f>
        <v>1130-65-73</v>
      </c>
      <c r="P151" t="str">
        <f t="shared" si="64"/>
        <v xml:space="preserve">MAJORS                                                                                              </v>
      </c>
    </row>
    <row r="152" spans="1:16" x14ac:dyDescent="0.25">
      <c r="A152" t="str">
        <f t="shared" si="53"/>
        <v>10</v>
      </c>
      <c r="B152" t="str">
        <f t="shared" si="57"/>
        <v>23</v>
      </c>
      <c r="C152" s="1">
        <v>46217</v>
      </c>
      <c r="D152" t="str">
        <f>CLEAN("1130-65-72")</f>
        <v>1130-65-72</v>
      </c>
      <c r="E152" t="str">
        <f t="shared" si="59"/>
        <v xml:space="preserve">302  </v>
      </c>
      <c r="F152" t="str">
        <f>CLEAN("$25,000,000 - $29,999,999")</f>
        <v>$25,000,000 - $29,999,999</v>
      </c>
      <c r="G152" t="str">
        <f t="shared" si="62"/>
        <v>LET</v>
      </c>
      <c r="H152" t="str">
        <f t="shared" si="63"/>
        <v xml:space="preserve">LET CONSTRUCTION         </v>
      </c>
      <c r="I152" t="str">
        <f>CLEAN("CONST/RECSTE MNLINE, BALLARD-FRENCH")</f>
        <v>CONST/RECSTE MNLINE, BALLARD-FRENCH</v>
      </c>
      <c r="J152" t="str">
        <f t="shared" si="65"/>
        <v>IH  041</v>
      </c>
      <c r="K152" t="str">
        <f t="shared" si="60"/>
        <v xml:space="preserve">OUTAGAMIE                     </v>
      </c>
      <c r="L152" t="str">
        <f t="shared" si="61"/>
        <v xml:space="preserve">APPLETON - DE PERE                 </v>
      </c>
      <c r="M152" t="str">
        <f>CLEAN("I-41 MAINLINE, BALLARD - FRENCH    ")</f>
        <v xml:space="preserve">I-41 MAINLINE, BALLARD - FRENCH    </v>
      </c>
      <c r="N152">
        <v>1.05</v>
      </c>
      <c r="O152" t="str">
        <f>CLEAN("1130-65-74")</f>
        <v>1130-65-74</v>
      </c>
      <c r="P152" t="str">
        <f t="shared" si="64"/>
        <v xml:space="preserve">MAJORS                                                                                              </v>
      </c>
    </row>
    <row r="153" spans="1:16" x14ac:dyDescent="0.25">
      <c r="A153" t="str">
        <f t="shared" si="53"/>
        <v>10</v>
      </c>
      <c r="B153" t="str">
        <f t="shared" si="57"/>
        <v>23</v>
      </c>
      <c r="C153" s="1">
        <v>46217</v>
      </c>
      <c r="D153" t="str">
        <f>CLEAN("1130-65-72")</f>
        <v>1130-65-72</v>
      </c>
      <c r="E153" t="str">
        <f t="shared" si="59"/>
        <v xml:space="preserve">302  </v>
      </c>
      <c r="F153" t="str">
        <f>CLEAN("$25,000,000 - $29,999,999")</f>
        <v>$25,000,000 - $29,999,999</v>
      </c>
      <c r="G153" t="str">
        <f t="shared" si="62"/>
        <v>LET</v>
      </c>
      <c r="H153" t="str">
        <f t="shared" si="63"/>
        <v xml:space="preserve">LET CONSTRUCTION         </v>
      </c>
      <c r="I153" t="str">
        <f>CLEAN("CONST/RECSTE MNLINE, BALLARD-FRENCH")</f>
        <v>CONST/RECSTE MNLINE, BALLARD-FRENCH</v>
      </c>
      <c r="J153" t="str">
        <f t="shared" si="65"/>
        <v>IH  041</v>
      </c>
      <c r="K153" t="str">
        <f t="shared" si="60"/>
        <v xml:space="preserve">OUTAGAMIE                     </v>
      </c>
      <c r="L153" t="str">
        <f t="shared" si="61"/>
        <v xml:space="preserve">APPLETON - DE PERE                 </v>
      </c>
      <c r="M153" t="str">
        <f>CLEAN("I-41 MAINLINE, BALLARD - FRENCH    ")</f>
        <v xml:space="preserve">I-41 MAINLINE, BALLARD - FRENCH    </v>
      </c>
      <c r="N153">
        <v>1.05</v>
      </c>
      <c r="O153" t="str">
        <f>CLEAN("1130-65-78")</f>
        <v>1130-65-78</v>
      </c>
      <c r="P153" t="str">
        <f t="shared" si="64"/>
        <v xml:space="preserve">MAJORS                                                                                              </v>
      </c>
    </row>
    <row r="154" spans="1:16" x14ac:dyDescent="0.25">
      <c r="A154" t="str">
        <f t="shared" si="53"/>
        <v>10</v>
      </c>
      <c r="B154" t="str">
        <f t="shared" si="57"/>
        <v>23</v>
      </c>
      <c r="C154" s="1">
        <v>46217</v>
      </c>
      <c r="D154" t="str">
        <f>CLEAN("1130-65-73")</f>
        <v>1130-65-73</v>
      </c>
      <c r="E154" t="str">
        <f t="shared" si="59"/>
        <v xml:space="preserve">302  </v>
      </c>
      <c r="F154" t="str">
        <f t="shared" ref="F154:F161" si="66">CLEAN("$13,000,000 - $13,999,999")</f>
        <v>$13,000,000 - $13,999,999</v>
      </c>
      <c r="G154" t="str">
        <f t="shared" si="62"/>
        <v>LET</v>
      </c>
      <c r="H154" t="str">
        <f t="shared" si="63"/>
        <v xml:space="preserve">LET CONSTRUCTION         </v>
      </c>
      <c r="I154" t="str">
        <f>CLEAN("CONST/RECSTE MNLINE, FRENCH-HOLLAND")</f>
        <v>CONST/RECSTE MNLINE, FRENCH-HOLLAND</v>
      </c>
      <c r="J154" t="str">
        <f t="shared" si="65"/>
        <v>IH  041</v>
      </c>
      <c r="K154" t="str">
        <f t="shared" si="60"/>
        <v xml:space="preserve">OUTAGAMIE                     </v>
      </c>
      <c r="L154" t="str">
        <f t="shared" si="61"/>
        <v xml:space="preserve">APPLETON - DE PERE                 </v>
      </c>
      <c r="M154" t="str">
        <f>CLEAN("I-41 MAINLINE, FRENCH RD-HOLLAND RD")</f>
        <v>I-41 MAINLINE, FRENCH RD-HOLLAND RD</v>
      </c>
      <c r="N154">
        <v>1.02</v>
      </c>
      <c r="O154" t="str">
        <f>CLEAN("1130-65-71")</f>
        <v>1130-65-71</v>
      </c>
      <c r="P154" t="str">
        <f t="shared" si="64"/>
        <v xml:space="preserve">MAJORS                                                                                              </v>
      </c>
    </row>
    <row r="155" spans="1:16" x14ac:dyDescent="0.25">
      <c r="A155" t="str">
        <f t="shared" si="53"/>
        <v>10</v>
      </c>
      <c r="B155" t="str">
        <f t="shared" si="57"/>
        <v>23</v>
      </c>
      <c r="C155" s="1">
        <v>46217</v>
      </c>
      <c r="D155" t="str">
        <f>CLEAN("1130-65-73")</f>
        <v>1130-65-73</v>
      </c>
      <c r="E155" t="str">
        <f t="shared" si="59"/>
        <v xml:space="preserve">302  </v>
      </c>
      <c r="F155" t="str">
        <f t="shared" si="66"/>
        <v>$13,000,000 - $13,999,999</v>
      </c>
      <c r="G155" t="str">
        <f t="shared" si="62"/>
        <v>LET</v>
      </c>
      <c r="H155" t="str">
        <f t="shared" si="63"/>
        <v xml:space="preserve">LET CONSTRUCTION         </v>
      </c>
      <c r="I155" t="str">
        <f>CLEAN("CONST/RECSTE MNLINE, FRENCH-HOLLAND")</f>
        <v>CONST/RECSTE MNLINE, FRENCH-HOLLAND</v>
      </c>
      <c r="J155" t="str">
        <f t="shared" si="65"/>
        <v>IH  041</v>
      </c>
      <c r="K155" t="str">
        <f t="shared" si="60"/>
        <v xml:space="preserve">OUTAGAMIE                     </v>
      </c>
      <c r="L155" t="str">
        <f t="shared" si="61"/>
        <v xml:space="preserve">APPLETON - DE PERE                 </v>
      </c>
      <c r="M155" t="str">
        <f>CLEAN("I-41 MAINLINE, FRENCH RD-HOLLAND RD")</f>
        <v>I-41 MAINLINE, FRENCH RD-HOLLAND RD</v>
      </c>
      <c r="N155">
        <v>1.02</v>
      </c>
      <c r="O155" t="str">
        <f>CLEAN("1130-65-72")</f>
        <v>1130-65-72</v>
      </c>
      <c r="P155" t="str">
        <f t="shared" si="64"/>
        <v xml:space="preserve">MAJORS                                                                                              </v>
      </c>
    </row>
    <row r="156" spans="1:16" x14ac:dyDescent="0.25">
      <c r="A156" t="str">
        <f t="shared" si="53"/>
        <v>10</v>
      </c>
      <c r="B156" t="str">
        <f t="shared" si="57"/>
        <v>23</v>
      </c>
      <c r="C156" s="1">
        <v>46217</v>
      </c>
      <c r="D156" t="str">
        <f>CLEAN("1130-65-73")</f>
        <v>1130-65-73</v>
      </c>
      <c r="E156" t="str">
        <f t="shared" si="59"/>
        <v xml:space="preserve">302  </v>
      </c>
      <c r="F156" t="str">
        <f t="shared" si="66"/>
        <v>$13,000,000 - $13,999,999</v>
      </c>
      <c r="G156" t="str">
        <f t="shared" si="62"/>
        <v>LET</v>
      </c>
      <c r="H156" t="str">
        <f t="shared" si="63"/>
        <v xml:space="preserve">LET CONSTRUCTION         </v>
      </c>
      <c r="I156" t="str">
        <f>CLEAN("CONST/RECSTE MNLINE, FRENCH-HOLLAND")</f>
        <v>CONST/RECSTE MNLINE, FRENCH-HOLLAND</v>
      </c>
      <c r="J156" t="str">
        <f t="shared" si="65"/>
        <v>IH  041</v>
      </c>
      <c r="K156" t="str">
        <f t="shared" si="60"/>
        <v xml:space="preserve">OUTAGAMIE                     </v>
      </c>
      <c r="L156" t="str">
        <f t="shared" si="61"/>
        <v xml:space="preserve">APPLETON - DE PERE                 </v>
      </c>
      <c r="M156" t="str">
        <f>CLEAN("I-41 MAINLINE, FRENCH RD-HOLLAND RD")</f>
        <v>I-41 MAINLINE, FRENCH RD-HOLLAND RD</v>
      </c>
      <c r="N156">
        <v>1.02</v>
      </c>
      <c r="O156" t="str">
        <f>CLEAN("1130-65-74")</f>
        <v>1130-65-74</v>
      </c>
      <c r="P156" t="str">
        <f t="shared" si="64"/>
        <v xml:space="preserve">MAJORS                                                                                              </v>
      </c>
    </row>
    <row r="157" spans="1:16" x14ac:dyDescent="0.25">
      <c r="A157" t="str">
        <f t="shared" si="53"/>
        <v>10</v>
      </c>
      <c r="B157" t="str">
        <f t="shared" si="57"/>
        <v>23</v>
      </c>
      <c r="C157" s="1">
        <v>46217</v>
      </c>
      <c r="D157" t="str">
        <f>CLEAN("1130-65-73")</f>
        <v>1130-65-73</v>
      </c>
      <c r="E157" t="str">
        <f t="shared" si="59"/>
        <v xml:space="preserve">302  </v>
      </c>
      <c r="F157" t="str">
        <f t="shared" si="66"/>
        <v>$13,000,000 - $13,999,999</v>
      </c>
      <c r="G157" t="str">
        <f t="shared" si="62"/>
        <v>LET</v>
      </c>
      <c r="H157" t="str">
        <f t="shared" si="63"/>
        <v xml:space="preserve">LET CONSTRUCTION         </v>
      </c>
      <c r="I157" t="str">
        <f>CLEAN("CONST/RECSTE MNLINE, FRENCH-HOLLAND")</f>
        <v>CONST/RECSTE MNLINE, FRENCH-HOLLAND</v>
      </c>
      <c r="J157" t="str">
        <f t="shared" si="65"/>
        <v>IH  041</v>
      </c>
      <c r="K157" t="str">
        <f t="shared" si="60"/>
        <v xml:space="preserve">OUTAGAMIE                     </v>
      </c>
      <c r="L157" t="str">
        <f t="shared" si="61"/>
        <v xml:space="preserve">APPLETON - DE PERE                 </v>
      </c>
      <c r="M157" t="str">
        <f>CLEAN("I-41 MAINLINE, FRENCH RD-HOLLAND RD")</f>
        <v>I-41 MAINLINE, FRENCH RD-HOLLAND RD</v>
      </c>
      <c r="N157">
        <v>1.02</v>
      </c>
      <c r="O157" t="str">
        <f>CLEAN("1130-65-78")</f>
        <v>1130-65-78</v>
      </c>
      <c r="P157" t="str">
        <f t="shared" si="64"/>
        <v xml:space="preserve">MAJORS                                                                                              </v>
      </c>
    </row>
    <row r="158" spans="1:16" x14ac:dyDescent="0.25">
      <c r="A158" t="str">
        <f t="shared" si="53"/>
        <v>10</v>
      </c>
      <c r="B158" t="str">
        <f t="shared" si="57"/>
        <v>23</v>
      </c>
      <c r="C158" s="1">
        <v>46217</v>
      </c>
      <c r="D158" t="str">
        <f>CLEAN("1130-65-74")</f>
        <v>1130-65-74</v>
      </c>
      <c r="E158" t="str">
        <f t="shared" si="59"/>
        <v xml:space="preserve">302  </v>
      </c>
      <c r="F158" t="str">
        <f t="shared" si="66"/>
        <v>$13,000,000 - $13,999,999</v>
      </c>
      <c r="G158" t="str">
        <f t="shared" si="62"/>
        <v>LET</v>
      </c>
      <c r="H158" t="str">
        <f t="shared" si="63"/>
        <v xml:space="preserve">LET CONSTRUCTION         </v>
      </c>
      <c r="I158" t="str">
        <f>CLEAN("CONST/RECSTE MNLINE,NORTHLAND-I-41 ")</f>
        <v xml:space="preserve">CONST/RECSTE MNLINE,NORTHLAND-I-41 </v>
      </c>
      <c r="J158" t="str">
        <f t="shared" ref="J158:J165" si="67">CLEAN("STH 441")</f>
        <v>STH 441</v>
      </c>
      <c r="K158" t="str">
        <f t="shared" si="60"/>
        <v xml:space="preserve">OUTAGAMIE                     </v>
      </c>
      <c r="L158" t="str">
        <f t="shared" si="61"/>
        <v xml:space="preserve">APPLETON - DE PERE                 </v>
      </c>
      <c r="M158" t="str">
        <f>CLEAN("STH 441 MAINLINE, NORTHLAND - I-41 ")</f>
        <v xml:space="preserve">STH 441 MAINLINE, NORTHLAND - I-41 </v>
      </c>
      <c r="N158">
        <v>0</v>
      </c>
      <c r="O158" t="str">
        <f>CLEAN("1130-65-71")</f>
        <v>1130-65-71</v>
      </c>
      <c r="P158" t="str">
        <f t="shared" si="64"/>
        <v xml:space="preserve">MAJORS                                                                                              </v>
      </c>
    </row>
    <row r="159" spans="1:16" x14ac:dyDescent="0.25">
      <c r="A159" t="str">
        <f t="shared" si="53"/>
        <v>10</v>
      </c>
      <c r="B159" t="str">
        <f t="shared" si="57"/>
        <v>23</v>
      </c>
      <c r="C159" s="1">
        <v>46217</v>
      </c>
      <c r="D159" t="str">
        <f>CLEAN("1130-65-74")</f>
        <v>1130-65-74</v>
      </c>
      <c r="E159" t="str">
        <f t="shared" si="59"/>
        <v xml:space="preserve">302  </v>
      </c>
      <c r="F159" t="str">
        <f t="shared" si="66"/>
        <v>$13,000,000 - $13,999,999</v>
      </c>
      <c r="G159" t="str">
        <f t="shared" si="62"/>
        <v>LET</v>
      </c>
      <c r="H159" t="str">
        <f t="shared" si="63"/>
        <v xml:space="preserve">LET CONSTRUCTION         </v>
      </c>
      <c r="I159" t="str">
        <f>CLEAN("CONST/RECSTE MNLINE,NORTHLAND-I-41 ")</f>
        <v xml:space="preserve">CONST/RECSTE MNLINE,NORTHLAND-I-41 </v>
      </c>
      <c r="J159" t="str">
        <f t="shared" si="67"/>
        <v>STH 441</v>
      </c>
      <c r="K159" t="str">
        <f t="shared" si="60"/>
        <v xml:space="preserve">OUTAGAMIE                     </v>
      </c>
      <c r="L159" t="str">
        <f t="shared" si="61"/>
        <v xml:space="preserve">APPLETON - DE PERE                 </v>
      </c>
      <c r="M159" t="str">
        <f>CLEAN("STH 441 MAINLINE, NORTHLAND - I-41 ")</f>
        <v xml:space="preserve">STH 441 MAINLINE, NORTHLAND - I-41 </v>
      </c>
      <c r="N159">
        <v>0</v>
      </c>
      <c r="O159" t="str">
        <f>CLEAN("1130-65-72")</f>
        <v>1130-65-72</v>
      </c>
      <c r="P159" t="str">
        <f t="shared" si="64"/>
        <v xml:space="preserve">MAJORS                                                                                              </v>
      </c>
    </row>
    <row r="160" spans="1:16" x14ac:dyDescent="0.25">
      <c r="A160" t="str">
        <f t="shared" si="53"/>
        <v>10</v>
      </c>
      <c r="B160" t="str">
        <f t="shared" si="57"/>
        <v>23</v>
      </c>
      <c r="C160" s="1">
        <v>46217</v>
      </c>
      <c r="D160" t="str">
        <f>CLEAN("1130-65-74")</f>
        <v>1130-65-74</v>
      </c>
      <c r="E160" t="str">
        <f t="shared" si="59"/>
        <v xml:space="preserve">302  </v>
      </c>
      <c r="F160" t="str">
        <f t="shared" si="66"/>
        <v>$13,000,000 - $13,999,999</v>
      </c>
      <c r="G160" t="str">
        <f t="shared" si="62"/>
        <v>LET</v>
      </c>
      <c r="H160" t="str">
        <f t="shared" si="63"/>
        <v xml:space="preserve">LET CONSTRUCTION         </v>
      </c>
      <c r="I160" t="str">
        <f>CLEAN("CONST/RECSTE MNLINE,NORTHLAND-I-41 ")</f>
        <v xml:space="preserve">CONST/RECSTE MNLINE,NORTHLAND-I-41 </v>
      </c>
      <c r="J160" t="str">
        <f t="shared" si="67"/>
        <v>STH 441</v>
      </c>
      <c r="K160" t="str">
        <f t="shared" si="60"/>
        <v xml:space="preserve">OUTAGAMIE                     </v>
      </c>
      <c r="L160" t="str">
        <f t="shared" si="61"/>
        <v xml:space="preserve">APPLETON - DE PERE                 </v>
      </c>
      <c r="M160" t="str">
        <f>CLEAN("STH 441 MAINLINE, NORTHLAND - I-41 ")</f>
        <v xml:space="preserve">STH 441 MAINLINE, NORTHLAND - I-41 </v>
      </c>
      <c r="N160">
        <v>0</v>
      </c>
      <c r="O160" t="str">
        <f>CLEAN("1130-65-73")</f>
        <v>1130-65-73</v>
      </c>
      <c r="P160" t="str">
        <f t="shared" si="64"/>
        <v xml:space="preserve">MAJORS                                                                                              </v>
      </c>
    </row>
    <row r="161" spans="1:16" x14ac:dyDescent="0.25">
      <c r="A161" t="str">
        <f t="shared" si="53"/>
        <v>10</v>
      </c>
      <c r="B161" t="str">
        <f t="shared" si="57"/>
        <v>23</v>
      </c>
      <c r="C161" s="1">
        <v>46217</v>
      </c>
      <c r="D161" t="str">
        <f>CLEAN("1130-65-74")</f>
        <v>1130-65-74</v>
      </c>
      <c r="E161" t="str">
        <f t="shared" si="59"/>
        <v xml:space="preserve">302  </v>
      </c>
      <c r="F161" t="str">
        <f t="shared" si="66"/>
        <v>$13,000,000 - $13,999,999</v>
      </c>
      <c r="G161" t="str">
        <f t="shared" si="62"/>
        <v>LET</v>
      </c>
      <c r="H161" t="str">
        <f t="shared" si="63"/>
        <v xml:space="preserve">LET CONSTRUCTION         </v>
      </c>
      <c r="I161" t="str">
        <f>CLEAN("CONST/RECSTE MNLINE,NORTHLAND-I-41 ")</f>
        <v xml:space="preserve">CONST/RECSTE MNLINE,NORTHLAND-I-41 </v>
      </c>
      <c r="J161" t="str">
        <f t="shared" si="67"/>
        <v>STH 441</v>
      </c>
      <c r="K161" t="str">
        <f t="shared" si="60"/>
        <v xml:space="preserve">OUTAGAMIE                     </v>
      </c>
      <c r="L161" t="str">
        <f t="shared" si="61"/>
        <v xml:space="preserve">APPLETON - DE PERE                 </v>
      </c>
      <c r="M161" t="str">
        <f>CLEAN("STH 441 MAINLINE, NORTHLAND - I-41 ")</f>
        <v xml:space="preserve">STH 441 MAINLINE, NORTHLAND - I-41 </v>
      </c>
      <c r="N161">
        <v>0</v>
      </c>
      <c r="O161" t="str">
        <f>CLEAN("1130-65-78")</f>
        <v>1130-65-78</v>
      </c>
      <c r="P161" t="str">
        <f t="shared" si="64"/>
        <v xml:space="preserve">MAJORS                                                                                              </v>
      </c>
    </row>
    <row r="162" spans="1:16" x14ac:dyDescent="0.25">
      <c r="A162" t="str">
        <f t="shared" si="53"/>
        <v>10</v>
      </c>
      <c r="B162" t="str">
        <f t="shared" si="57"/>
        <v>23</v>
      </c>
      <c r="C162" s="1">
        <v>46217</v>
      </c>
      <c r="D162" t="str">
        <f>CLEAN("1130-65-78")</f>
        <v>1130-65-78</v>
      </c>
      <c r="E162" t="str">
        <f t="shared" si="59"/>
        <v xml:space="preserve">302  </v>
      </c>
      <c r="F162" t="str">
        <f>CLEAN("$60,000,000 - $69,999,999")</f>
        <v>$60,000,000 - $69,999,999</v>
      </c>
      <c r="G162" t="str">
        <f t="shared" si="62"/>
        <v>LET</v>
      </c>
      <c r="H162" t="str">
        <f t="shared" si="63"/>
        <v xml:space="preserve">LET CONSTRUCTION         </v>
      </c>
      <c r="I162" t="str">
        <f>CLEAN("CONST/RECSTE STH 441 INTCHG        ")</f>
        <v xml:space="preserve">CONST/RECSTE STH 441 INTCHG        </v>
      </c>
      <c r="J162" t="str">
        <f t="shared" si="67"/>
        <v>STH 441</v>
      </c>
      <c r="K162" t="str">
        <f t="shared" si="60"/>
        <v xml:space="preserve">OUTAGAMIE                     </v>
      </c>
      <c r="L162" t="str">
        <f t="shared" si="61"/>
        <v xml:space="preserve">APPLETON - DE PERE                 </v>
      </c>
      <c r="M162" t="str">
        <f>CLEAN("STH 441 INTCHG FILL &amp; STRUCTURES   ")</f>
        <v xml:space="preserve">STH 441 INTCHG FILL &amp; STRUCTURES   </v>
      </c>
      <c r="N162">
        <v>0.68</v>
      </c>
      <c r="O162" t="str">
        <f>CLEAN("1130-65-71")</f>
        <v>1130-65-71</v>
      </c>
      <c r="P162" t="str">
        <f t="shared" si="64"/>
        <v xml:space="preserve">MAJORS                                                                                              </v>
      </c>
    </row>
    <row r="163" spans="1:16" x14ac:dyDescent="0.25">
      <c r="A163" t="str">
        <f t="shared" si="53"/>
        <v>10</v>
      </c>
      <c r="B163" t="str">
        <f t="shared" si="57"/>
        <v>23</v>
      </c>
      <c r="C163" s="1">
        <v>46217</v>
      </c>
      <c r="D163" t="str">
        <f>CLEAN("1130-65-78")</f>
        <v>1130-65-78</v>
      </c>
      <c r="E163" t="str">
        <f t="shared" si="59"/>
        <v xml:space="preserve">302  </v>
      </c>
      <c r="F163" t="str">
        <f>CLEAN("$60,000,000 - $69,999,999")</f>
        <v>$60,000,000 - $69,999,999</v>
      </c>
      <c r="G163" t="str">
        <f t="shared" si="62"/>
        <v>LET</v>
      </c>
      <c r="H163" t="str">
        <f t="shared" si="63"/>
        <v xml:space="preserve">LET CONSTRUCTION         </v>
      </c>
      <c r="I163" t="str">
        <f>CLEAN("CONST/RECSTE STH 441 INTCHG        ")</f>
        <v xml:space="preserve">CONST/RECSTE STH 441 INTCHG        </v>
      </c>
      <c r="J163" t="str">
        <f t="shared" si="67"/>
        <v>STH 441</v>
      </c>
      <c r="K163" t="str">
        <f t="shared" si="60"/>
        <v xml:space="preserve">OUTAGAMIE                     </v>
      </c>
      <c r="L163" t="str">
        <f t="shared" si="61"/>
        <v xml:space="preserve">APPLETON - DE PERE                 </v>
      </c>
      <c r="M163" t="str">
        <f>CLEAN("STH 441 INTCHG FILL &amp; STRUCTURES   ")</f>
        <v xml:space="preserve">STH 441 INTCHG FILL &amp; STRUCTURES   </v>
      </c>
      <c r="N163">
        <v>0.68</v>
      </c>
      <c r="O163" t="str">
        <f>CLEAN("1130-65-72")</f>
        <v>1130-65-72</v>
      </c>
      <c r="P163" t="str">
        <f t="shared" si="64"/>
        <v xml:space="preserve">MAJORS                                                                                              </v>
      </c>
    </row>
    <row r="164" spans="1:16" x14ac:dyDescent="0.25">
      <c r="A164" t="str">
        <f t="shared" si="53"/>
        <v>10</v>
      </c>
      <c r="B164" t="str">
        <f t="shared" si="57"/>
        <v>23</v>
      </c>
      <c r="C164" s="1">
        <v>46217</v>
      </c>
      <c r="D164" t="str">
        <f>CLEAN("1130-65-78")</f>
        <v>1130-65-78</v>
      </c>
      <c r="E164" t="str">
        <f t="shared" si="59"/>
        <v xml:space="preserve">302  </v>
      </c>
      <c r="F164" t="str">
        <f>CLEAN("$60,000,000 - $69,999,999")</f>
        <v>$60,000,000 - $69,999,999</v>
      </c>
      <c r="G164" t="str">
        <f t="shared" si="62"/>
        <v>LET</v>
      </c>
      <c r="H164" t="str">
        <f t="shared" si="63"/>
        <v xml:space="preserve">LET CONSTRUCTION         </v>
      </c>
      <c r="I164" t="str">
        <f>CLEAN("CONST/RECSTE STH 441 INTCHG        ")</f>
        <v xml:space="preserve">CONST/RECSTE STH 441 INTCHG        </v>
      </c>
      <c r="J164" t="str">
        <f t="shared" si="67"/>
        <v>STH 441</v>
      </c>
      <c r="K164" t="str">
        <f t="shared" si="60"/>
        <v xml:space="preserve">OUTAGAMIE                     </v>
      </c>
      <c r="L164" t="str">
        <f t="shared" si="61"/>
        <v xml:space="preserve">APPLETON - DE PERE                 </v>
      </c>
      <c r="M164" t="str">
        <f>CLEAN("STH 441 INTCHG FILL &amp; STRUCTURES   ")</f>
        <v xml:space="preserve">STH 441 INTCHG FILL &amp; STRUCTURES   </v>
      </c>
      <c r="N164">
        <v>0.68</v>
      </c>
      <c r="O164" t="str">
        <f>CLEAN("1130-65-73")</f>
        <v>1130-65-73</v>
      </c>
      <c r="P164" t="str">
        <f t="shared" si="64"/>
        <v xml:space="preserve">MAJORS                                                                                              </v>
      </c>
    </row>
    <row r="165" spans="1:16" x14ac:dyDescent="0.25">
      <c r="A165" t="str">
        <f t="shared" si="53"/>
        <v>10</v>
      </c>
      <c r="B165" t="str">
        <f t="shared" si="57"/>
        <v>23</v>
      </c>
      <c r="C165" s="1">
        <v>46217</v>
      </c>
      <c r="D165" t="str">
        <f>CLEAN("1130-65-78")</f>
        <v>1130-65-78</v>
      </c>
      <c r="E165" t="str">
        <f t="shared" si="59"/>
        <v xml:space="preserve">302  </v>
      </c>
      <c r="F165" t="str">
        <f>CLEAN("$60,000,000 - $69,999,999")</f>
        <v>$60,000,000 - $69,999,999</v>
      </c>
      <c r="G165" t="str">
        <f t="shared" si="62"/>
        <v>LET</v>
      </c>
      <c r="H165" t="str">
        <f t="shared" si="63"/>
        <v xml:space="preserve">LET CONSTRUCTION         </v>
      </c>
      <c r="I165" t="str">
        <f>CLEAN("CONST/RECSTE STH 441 INTCHG        ")</f>
        <v xml:space="preserve">CONST/RECSTE STH 441 INTCHG        </v>
      </c>
      <c r="J165" t="str">
        <f t="shared" si="67"/>
        <v>STH 441</v>
      </c>
      <c r="K165" t="str">
        <f t="shared" si="60"/>
        <v xml:space="preserve">OUTAGAMIE                     </v>
      </c>
      <c r="L165" t="str">
        <f t="shared" si="61"/>
        <v xml:space="preserve">APPLETON - DE PERE                 </v>
      </c>
      <c r="M165" t="str">
        <f>CLEAN("STH 441 INTCHG FILL &amp; STRUCTURES   ")</f>
        <v xml:space="preserve">STH 441 INTCHG FILL &amp; STRUCTURES   </v>
      </c>
      <c r="N165">
        <v>0.68</v>
      </c>
      <c r="O165" t="str">
        <f>CLEAN("1130-65-74")</f>
        <v>1130-65-74</v>
      </c>
      <c r="P165" t="str">
        <f t="shared" si="64"/>
        <v xml:space="preserve">MAJORS                                                                                              </v>
      </c>
    </row>
    <row r="166" spans="1:16" x14ac:dyDescent="0.25">
      <c r="A166" t="str">
        <f t="shared" si="53"/>
        <v>10</v>
      </c>
      <c r="B166" t="str">
        <f t="shared" si="57"/>
        <v>23</v>
      </c>
      <c r="C166" s="1">
        <v>45972</v>
      </c>
      <c r="D166" t="str">
        <f>CLEAN("1130-65-81")</f>
        <v>1130-65-81</v>
      </c>
      <c r="E166" t="str">
        <f t="shared" si="59"/>
        <v xml:space="preserve">302  </v>
      </c>
      <c r="F166" t="str">
        <f>CLEAN("$8,000,000 - $8,999,999  ")</f>
        <v xml:space="preserve">$8,000,000 - $8,999,999  </v>
      </c>
      <c r="G166" t="str">
        <f t="shared" si="62"/>
        <v>LET</v>
      </c>
      <c r="H166" t="str">
        <f t="shared" si="63"/>
        <v xml:space="preserve">LET CONSTRUCTION         </v>
      </c>
      <c r="I166" t="str">
        <f>CLEAN("CONST/RECSTE FRENCH RD OVERPASS    ")</f>
        <v xml:space="preserve">CONST/RECSTE FRENCH RD OVERPASS    </v>
      </c>
      <c r="J166" t="str">
        <f t="shared" ref="J166:J172" si="68">CLEAN("IH  041")</f>
        <v>IH  041</v>
      </c>
      <c r="K166" t="str">
        <f t="shared" si="60"/>
        <v xml:space="preserve">OUTAGAMIE                     </v>
      </c>
      <c r="L166" t="str">
        <f t="shared" si="61"/>
        <v xml:space="preserve">APPLETON - DE PERE                 </v>
      </c>
      <c r="M166" t="str">
        <f>CLEAN("FRENCH RD OVERPASS                 ")</f>
        <v xml:space="preserve">FRENCH RD OVERPASS                 </v>
      </c>
      <c r="N166">
        <v>0.34399999999999997</v>
      </c>
      <c r="O166" t="str">
        <f t="shared" ref="O166:O173" si="69">CLEAN("          ")</f>
        <v xml:space="preserve">          </v>
      </c>
      <c r="P166" t="str">
        <f>CLEAN("COMMUNITY SENSITIVE DESIGN                                                                          ")</f>
        <v xml:space="preserve">COMMUNITY SENSITIVE DESIGN                                                                          </v>
      </c>
    </row>
    <row r="167" spans="1:16" x14ac:dyDescent="0.25">
      <c r="A167" t="str">
        <f t="shared" si="53"/>
        <v>10</v>
      </c>
      <c r="B167" t="str">
        <f t="shared" si="57"/>
        <v>23</v>
      </c>
      <c r="C167" s="1">
        <v>45972</v>
      </c>
      <c r="D167" t="str">
        <f>CLEAN("1130-65-81")</f>
        <v>1130-65-81</v>
      </c>
      <c r="E167" t="str">
        <f t="shared" si="59"/>
        <v xml:space="preserve">302  </v>
      </c>
      <c r="F167" t="str">
        <f>CLEAN("$8,000,000 - $8,999,999  ")</f>
        <v xml:space="preserve">$8,000,000 - $8,999,999  </v>
      </c>
      <c r="G167" t="str">
        <f t="shared" si="62"/>
        <v>LET</v>
      </c>
      <c r="H167" t="str">
        <f t="shared" si="63"/>
        <v xml:space="preserve">LET CONSTRUCTION         </v>
      </c>
      <c r="I167" t="str">
        <f>CLEAN("CONST/RECSTE FRENCH RD OVERPASS    ")</f>
        <v xml:space="preserve">CONST/RECSTE FRENCH RD OVERPASS    </v>
      </c>
      <c r="J167" t="str">
        <f t="shared" si="68"/>
        <v>IH  041</v>
      </c>
      <c r="K167" t="str">
        <f t="shared" si="60"/>
        <v xml:space="preserve">OUTAGAMIE                     </v>
      </c>
      <c r="L167" t="str">
        <f t="shared" si="61"/>
        <v xml:space="preserve">APPLETON - DE PERE                 </v>
      </c>
      <c r="M167" t="str">
        <f>CLEAN("FRENCH RD OVERPASS                 ")</f>
        <v xml:space="preserve">FRENCH RD OVERPASS                 </v>
      </c>
      <c r="N167">
        <v>0.34399999999999997</v>
      </c>
      <c r="O167" t="str">
        <f t="shared" si="69"/>
        <v xml:space="preserve">          </v>
      </c>
      <c r="P167" t="str">
        <f>CLEAN("MAJORS                                                                                              ")</f>
        <v xml:space="preserve">MAJORS                                                                                              </v>
      </c>
    </row>
    <row r="168" spans="1:16" x14ac:dyDescent="0.25">
      <c r="A168" t="str">
        <f t="shared" si="53"/>
        <v>10</v>
      </c>
      <c r="B168" t="str">
        <f t="shared" si="57"/>
        <v>23</v>
      </c>
      <c r="C168" s="1">
        <v>45955</v>
      </c>
      <c r="D168" t="str">
        <f>CLEAN("1130-66-40")</f>
        <v>1130-66-40</v>
      </c>
      <c r="E168" t="str">
        <f t="shared" si="59"/>
        <v xml:space="preserve">302  </v>
      </c>
      <c r="F168" t="str">
        <f>CLEAN("$4,000,000 - $4,999,999  ")</f>
        <v xml:space="preserve">$4,000,000 - $4,999,999  </v>
      </c>
      <c r="G168" t="str">
        <f>CLEAN("UTL")</f>
        <v>UTL</v>
      </c>
      <c r="H168" t="str">
        <f>CLEAN("NONLET CONSTR/REAL ESTATE")</f>
        <v>NONLET CONSTR/REAL ESTATE</v>
      </c>
      <c r="I168" t="str">
        <f>CLEAN("UTL RELOCATION/IH41 UTL PLACEHOLDER")</f>
        <v>UTL RELOCATION/IH41 UTL PLACEHOLDER</v>
      </c>
      <c r="J168" t="str">
        <f t="shared" si="68"/>
        <v>IH  041</v>
      </c>
      <c r="K168" t="str">
        <f t="shared" si="60"/>
        <v xml:space="preserve">OUTAGAMIE                     </v>
      </c>
      <c r="L168" t="str">
        <f t="shared" si="61"/>
        <v xml:space="preserve">APPLETON - DE PERE                 </v>
      </c>
      <c r="M168" t="str">
        <f>CLEAN("HOLLAND RD - CTH J UTL PLACEHOLDER ")</f>
        <v xml:space="preserve">HOLLAND RD - CTH J UTL PLACEHOLDER </v>
      </c>
      <c r="N168">
        <v>4.2699999999999996</v>
      </c>
      <c r="O168" t="str">
        <f t="shared" si="69"/>
        <v xml:space="preserve">          </v>
      </c>
      <c r="P168" t="str">
        <f>CLEAN("MAJORS                                                                                              ")</f>
        <v xml:space="preserve">MAJORS                                                                                              </v>
      </c>
    </row>
    <row r="169" spans="1:16" x14ac:dyDescent="0.25">
      <c r="A169" t="str">
        <f t="shared" si="53"/>
        <v>10</v>
      </c>
      <c r="B169" t="str">
        <f t="shared" si="57"/>
        <v>23</v>
      </c>
      <c r="C169" s="1">
        <v>45944</v>
      </c>
      <c r="D169" t="str">
        <f>CLEAN("1130-66-82")</f>
        <v>1130-66-82</v>
      </c>
      <c r="E169" t="str">
        <f t="shared" si="59"/>
        <v xml:space="preserve">302  </v>
      </c>
      <c r="F169" t="str">
        <f>CLEAN("$4,000,000 - $4,999,999  ")</f>
        <v xml:space="preserve">$4,000,000 - $4,999,999  </v>
      </c>
      <c r="G169" t="str">
        <f>CLEAN("LET")</f>
        <v>LET</v>
      </c>
      <c r="H169" t="str">
        <f>CLEAN("LET CONSTRUCTION         ")</f>
        <v xml:space="preserve">LET CONSTRUCTION         </v>
      </c>
      <c r="I169" t="str">
        <f>CLEAN("CONST/RECSTE OVERPASS B440332      ")</f>
        <v xml:space="preserve">CONST/RECSTE OVERPASS B440332      </v>
      </c>
      <c r="J169" t="str">
        <f t="shared" si="68"/>
        <v>IH  041</v>
      </c>
      <c r="K169" t="str">
        <f t="shared" si="60"/>
        <v xml:space="preserve">OUTAGAMIE                     </v>
      </c>
      <c r="L169" t="str">
        <f t="shared" si="61"/>
        <v xml:space="preserve">APPLETON - DE PERE                 </v>
      </c>
      <c r="M169" t="str">
        <f>CLEAN("BUCHANAN ST OVERPASS               ")</f>
        <v xml:space="preserve">BUCHANAN ST OVERPASS               </v>
      </c>
      <c r="N169">
        <v>0.188</v>
      </c>
      <c r="O169" t="str">
        <f t="shared" si="69"/>
        <v xml:space="preserve">          </v>
      </c>
      <c r="P169" t="str">
        <f>CLEAN("COMMUNITY SENSITIVE DESIGN                                                                          ")</f>
        <v xml:space="preserve">COMMUNITY SENSITIVE DESIGN                                                                          </v>
      </c>
    </row>
    <row r="170" spans="1:16" x14ac:dyDescent="0.25">
      <c r="A170" t="str">
        <f t="shared" si="53"/>
        <v>10</v>
      </c>
      <c r="B170" t="str">
        <f t="shared" si="57"/>
        <v>23</v>
      </c>
      <c r="C170" s="1">
        <v>45944</v>
      </c>
      <c r="D170" t="str">
        <f>CLEAN("1130-66-82")</f>
        <v>1130-66-82</v>
      </c>
      <c r="E170" t="str">
        <f t="shared" si="59"/>
        <v xml:space="preserve">302  </v>
      </c>
      <c r="F170" t="str">
        <f>CLEAN("$4,000,000 - $4,999,999  ")</f>
        <v xml:space="preserve">$4,000,000 - $4,999,999  </v>
      </c>
      <c r="G170" t="str">
        <f>CLEAN("LET")</f>
        <v>LET</v>
      </c>
      <c r="H170" t="str">
        <f>CLEAN("LET CONSTRUCTION         ")</f>
        <v xml:space="preserve">LET CONSTRUCTION         </v>
      </c>
      <c r="I170" t="str">
        <f>CLEAN("CONST/RECSTE OVERPASS B440332      ")</f>
        <v xml:space="preserve">CONST/RECSTE OVERPASS B440332      </v>
      </c>
      <c r="J170" t="str">
        <f t="shared" si="68"/>
        <v>IH  041</v>
      </c>
      <c r="K170" t="str">
        <f t="shared" si="60"/>
        <v xml:space="preserve">OUTAGAMIE                     </v>
      </c>
      <c r="L170" t="str">
        <f t="shared" si="61"/>
        <v xml:space="preserve">APPLETON - DE PERE                 </v>
      </c>
      <c r="M170" t="str">
        <f>CLEAN("BUCHANAN ST OVERPASS               ")</f>
        <v xml:space="preserve">BUCHANAN ST OVERPASS               </v>
      </c>
      <c r="N170">
        <v>0.188</v>
      </c>
      <c r="O170" t="str">
        <f t="shared" si="69"/>
        <v xml:space="preserve">          </v>
      </c>
      <c r="P170" t="str">
        <f>CLEAN("MAJORS                                                                                              ")</f>
        <v xml:space="preserve">MAJORS                                                                                              </v>
      </c>
    </row>
    <row r="171" spans="1:16" x14ac:dyDescent="0.25">
      <c r="A171" t="str">
        <f t="shared" si="53"/>
        <v>10</v>
      </c>
      <c r="B171" t="str">
        <f t="shared" si="57"/>
        <v>23</v>
      </c>
      <c r="C171" s="1">
        <v>46245</v>
      </c>
      <c r="D171" t="str">
        <f>CLEAN("1130-73-71")</f>
        <v>1130-73-71</v>
      </c>
      <c r="E171" t="str">
        <f t="shared" ref="E171:E187" si="70">CLEAN("303  ")</f>
        <v xml:space="preserve">303  </v>
      </c>
      <c r="F171" t="str">
        <f>CLEAN("$12,000,000 - $12,999,999")</f>
        <v>$12,000,000 - $12,999,999</v>
      </c>
      <c r="G171" t="str">
        <f>CLEAN("LET")</f>
        <v>LET</v>
      </c>
      <c r="H171" t="str">
        <f>CLEAN("LET CONSTRUCTION         ")</f>
        <v xml:space="preserve">LET CONSTRUCTION         </v>
      </c>
      <c r="I171" t="str">
        <f>CLEAN("CONST OPS/BRPVTV                   ")</f>
        <v xml:space="preserve">CONST OPS/BRPVTV                   </v>
      </c>
      <c r="J171" t="str">
        <f t="shared" si="68"/>
        <v>IH  041</v>
      </c>
      <c r="K171" t="str">
        <f>CLEAN("BROWN                         ")</f>
        <v xml:space="preserve">BROWN                         </v>
      </c>
      <c r="L171" t="str">
        <f>CLEAN("OSHKOSH - GREEN BAY                ")</f>
        <v xml:space="preserve">OSHKOSH - GREEN BAY                </v>
      </c>
      <c r="M171" t="str">
        <f>CLEAN("USH 45 - IH 43                     ")</f>
        <v xml:space="preserve">USH 45 - IH 43                     </v>
      </c>
      <c r="N171">
        <v>0.62</v>
      </c>
      <c r="O171" t="str">
        <f t="shared" si="69"/>
        <v xml:space="preserve">          </v>
      </c>
      <c r="P171" t="str">
        <f>CLEAN("BACKBONE                                                                                            ")</f>
        <v xml:space="preserve">BACKBONE                                                                                            </v>
      </c>
    </row>
    <row r="172" spans="1:16" x14ac:dyDescent="0.25">
      <c r="A172" t="str">
        <f t="shared" si="53"/>
        <v>10</v>
      </c>
      <c r="B172" t="str">
        <f t="shared" si="57"/>
        <v>23</v>
      </c>
      <c r="C172" s="1">
        <v>46245</v>
      </c>
      <c r="D172" t="str">
        <f>CLEAN("1130-74-71")</f>
        <v>1130-74-71</v>
      </c>
      <c r="E172" t="str">
        <f t="shared" si="70"/>
        <v xml:space="preserve">303  </v>
      </c>
      <c r="F172" t="str">
        <f>CLEAN("$8,000,000 - $8,999,999  ")</f>
        <v xml:space="preserve">$8,000,000 - $8,999,999  </v>
      </c>
      <c r="G172" t="str">
        <f>CLEAN("LET")</f>
        <v>LET</v>
      </c>
      <c r="H172" t="str">
        <f>CLEAN("LET CONSTRUCTION         ")</f>
        <v xml:space="preserve">LET CONSTRUCTION         </v>
      </c>
      <c r="I172" t="str">
        <f>CLEAN("CONST OPS/MISC/APPROACH SLABS      ")</f>
        <v xml:space="preserve">CONST OPS/MISC/APPROACH SLABS      </v>
      </c>
      <c r="J172" t="str">
        <f t="shared" si="68"/>
        <v>IH  041</v>
      </c>
      <c r="K172" t="str">
        <f>CLEAN("BROWN                         ")</f>
        <v xml:space="preserve">BROWN                         </v>
      </c>
      <c r="L172" t="str">
        <f>CLEAN("GREEN BAY, IH 41                   ")</f>
        <v xml:space="preserve">GREEN BAY, IH 41                   </v>
      </c>
      <c r="M172" t="str">
        <f>CLEAN("PARKVIEW RD - STH 29               ")</f>
        <v xml:space="preserve">PARKVIEW RD - STH 29               </v>
      </c>
      <c r="N172">
        <v>0.45</v>
      </c>
      <c r="O172" t="str">
        <f t="shared" si="69"/>
        <v xml:space="preserve">          </v>
      </c>
      <c r="P172" t="str">
        <f>CLEAN("BACKBONE                                                                                            ")</f>
        <v xml:space="preserve">BACKBONE                                                                                            </v>
      </c>
    </row>
    <row r="173" spans="1:16" x14ac:dyDescent="0.25">
      <c r="A173" t="str">
        <f t="shared" si="53"/>
        <v>10</v>
      </c>
      <c r="B173" t="str">
        <f t="shared" ref="B173:B185" si="71">CLEAN("24")</f>
        <v>24</v>
      </c>
      <c r="C173" s="1">
        <v>46016</v>
      </c>
      <c r="D173" t="str">
        <f>CLEAN("1140-00-23")</f>
        <v>1140-00-23</v>
      </c>
      <c r="E173" t="str">
        <f t="shared" si="70"/>
        <v xml:space="preserve">303  </v>
      </c>
      <c r="F173" t="str">
        <f>CLEAN("$0 - $99,999             ")</f>
        <v xml:space="preserve">$0 - $99,999             </v>
      </c>
      <c r="G173" t="str">
        <f>CLEAN("R/E")</f>
        <v>R/E</v>
      </c>
      <c r="H173" t="str">
        <f>CLEAN("NONLET CONSTR/REAL ESTATE")</f>
        <v>NONLET CONSTR/REAL ESTATE</v>
      </c>
      <c r="I173" t="str">
        <f>CLEAN("REAL ESTATE/PAVEMENT REPLACEMENT   ")</f>
        <v xml:space="preserve">REAL ESTATE/PAVEMENT REPLACEMENT   </v>
      </c>
      <c r="J173" t="str">
        <f>CLEAN("USH 045")</f>
        <v>USH 045</v>
      </c>
      <c r="K173" t="str">
        <f>CLEAN("WAUPACA                       ")</f>
        <v xml:space="preserve">WAUPACA                       </v>
      </c>
      <c r="L173" t="str">
        <f>CLEAN("C CLINTONVILLE, SOUTH MAIN STREET  ")</f>
        <v xml:space="preserve">C CLINTONVILLE, SOUTH MAIN STREET  </v>
      </c>
      <c r="M173" t="str">
        <f>CLEAN("REINKE ROAD TO 3RD STREET          ")</f>
        <v xml:space="preserve">REINKE ROAD TO 3RD STREET          </v>
      </c>
      <c r="N173">
        <v>0.51</v>
      </c>
      <c r="O173" t="str">
        <f t="shared" si="69"/>
        <v xml:space="preserve">          </v>
      </c>
      <c r="P173" t="str">
        <f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174" spans="1:16" x14ac:dyDescent="0.25">
      <c r="A174" t="str">
        <f t="shared" si="53"/>
        <v>10</v>
      </c>
      <c r="B174" t="str">
        <f t="shared" si="71"/>
        <v>24</v>
      </c>
      <c r="C174" s="1">
        <v>45972</v>
      </c>
      <c r="D174" t="str">
        <f>CLEAN("1140-00-77")</f>
        <v>1140-00-77</v>
      </c>
      <c r="E174" t="str">
        <f t="shared" si="70"/>
        <v xml:space="preserve">303  </v>
      </c>
      <c r="F174" t="str">
        <f>CLEAN("$8,000,000 - $8,999,999  ")</f>
        <v xml:space="preserve">$8,000,000 - $8,999,999  </v>
      </c>
      <c r="G174" t="str">
        <f>CLEAN("LET")</f>
        <v>LET</v>
      </c>
      <c r="H174" t="str">
        <f>CLEAN("LET CONSTRUCTION         ")</f>
        <v xml:space="preserve">LET CONSTRUCTION         </v>
      </c>
      <c r="I174" t="str">
        <f>CLEAN("CONST/PAVEMENT REPLACEMENT         ")</f>
        <v xml:space="preserve">CONST/PAVEMENT REPLACEMENT         </v>
      </c>
      <c r="J174" t="str">
        <f>CLEAN("USH 045")</f>
        <v>USH 045</v>
      </c>
      <c r="K174" t="str">
        <f>CLEAN("OUTAGAMIE                     ")</f>
        <v xml:space="preserve">OUTAGAMIE                     </v>
      </c>
      <c r="L174" t="str">
        <f>CLEAN("NEW LONDON - CLINTONVILLE          ")</f>
        <v xml:space="preserve">NEW LONDON - CLINTONVILLE          </v>
      </c>
      <c r="M174" t="str">
        <f>CLEAN("GIVENS ROAD TO CHURCH ROAD         ")</f>
        <v xml:space="preserve">GIVENS ROAD TO CHURCH ROAD         </v>
      </c>
      <c r="N174">
        <v>7.6120000000000001</v>
      </c>
      <c r="O174" t="str">
        <f>CLEAN("6220-04-76")</f>
        <v>6220-04-76</v>
      </c>
      <c r="P174" t="str">
        <f>CLEAN("SAFETY (REGULAR HSIP)                                                                               ")</f>
        <v xml:space="preserve">SAFETY (REGULAR HSIP)                                                                               </v>
      </c>
    </row>
    <row r="175" spans="1:16" x14ac:dyDescent="0.25">
      <c r="A175" t="str">
        <f t="shared" si="53"/>
        <v>10</v>
      </c>
      <c r="B175" t="str">
        <f t="shared" si="71"/>
        <v>24</v>
      </c>
      <c r="C175" s="1">
        <v>45972</v>
      </c>
      <c r="D175" t="str">
        <f>CLEAN("1140-00-77")</f>
        <v>1140-00-77</v>
      </c>
      <c r="E175" t="str">
        <f t="shared" si="70"/>
        <v xml:space="preserve">303  </v>
      </c>
      <c r="F175" t="str">
        <f>CLEAN("$8,000,000 - $8,999,999  ")</f>
        <v xml:space="preserve">$8,000,000 - $8,999,999  </v>
      </c>
      <c r="G175" t="str">
        <f>CLEAN("LET")</f>
        <v>LET</v>
      </c>
      <c r="H175" t="str">
        <f>CLEAN("LET CONSTRUCTION         ")</f>
        <v xml:space="preserve">LET CONSTRUCTION         </v>
      </c>
      <c r="I175" t="str">
        <f>CLEAN("CONST/PAVEMENT REPLACEMENT         ")</f>
        <v xml:space="preserve">CONST/PAVEMENT REPLACEMENT         </v>
      </c>
      <c r="J175" t="str">
        <f>CLEAN("USH 045")</f>
        <v>USH 045</v>
      </c>
      <c r="K175" t="str">
        <f>CLEAN("OUTAGAMIE                     ")</f>
        <v xml:space="preserve">OUTAGAMIE                     </v>
      </c>
      <c r="L175" t="str">
        <f>CLEAN("NEW LONDON - CLINTONVILLE          ")</f>
        <v xml:space="preserve">NEW LONDON - CLINTONVILLE          </v>
      </c>
      <c r="M175" t="str">
        <f>CLEAN("GIVENS ROAD TO CHURCH ROAD         ")</f>
        <v xml:space="preserve">GIVENS ROAD TO CHURCH ROAD         </v>
      </c>
      <c r="N175">
        <v>7.6120000000000001</v>
      </c>
      <c r="O175" t="str">
        <f>CLEAN("6220-04-76")</f>
        <v>6220-04-76</v>
      </c>
      <c r="P175" t="str">
        <f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176" spans="1:16" x14ac:dyDescent="0.25">
      <c r="A176" t="str">
        <f t="shared" si="53"/>
        <v>10</v>
      </c>
      <c r="B176" t="str">
        <f t="shared" si="71"/>
        <v>24</v>
      </c>
      <c r="C176" s="1">
        <v>45944</v>
      </c>
      <c r="D176" t="str">
        <f>CLEAN("1166-04-84")</f>
        <v>1166-04-84</v>
      </c>
      <c r="E176" t="str">
        <f t="shared" si="70"/>
        <v xml:space="preserve">303  </v>
      </c>
      <c r="F176" t="str">
        <f>CLEAN("$10,000,000 - $10,999,999")</f>
        <v>$10,000,000 - $10,999,999</v>
      </c>
      <c r="G176" t="str">
        <f>CLEAN("LET")</f>
        <v>LET</v>
      </c>
      <c r="H176" t="str">
        <f>CLEAN("LET CONSTRUCTION         ")</f>
        <v xml:space="preserve">LET CONSTRUCTION         </v>
      </c>
      <c r="I176" t="str">
        <f>CLEAN("CONST/RESURFACE                    ")</f>
        <v xml:space="preserve">CONST/RESURFACE                    </v>
      </c>
      <c r="J176" t="str">
        <f>CLEAN("IH  039")</f>
        <v>IH  039</v>
      </c>
      <c r="K176" t="str">
        <f>CLEAN("MARQUETTE                     ")</f>
        <v xml:space="preserve">MARQUETTE                     </v>
      </c>
      <c r="L176" t="str">
        <f>CLEAN("PORTAGE - COLOMA                   ")</f>
        <v xml:space="preserve">PORTAGE - COLOMA                   </v>
      </c>
      <c r="M176" t="str">
        <f>CLEAN("COLUMBIA CO LINE TO FAWN COURT,SB  ")</f>
        <v xml:space="preserve">COLUMBIA CO LINE TO FAWN COURT,SB  </v>
      </c>
      <c r="N176">
        <v>12.01</v>
      </c>
      <c r="O176" t="str">
        <f t="shared" ref="O176:O214" si="72">CLEAN("          ")</f>
        <v xml:space="preserve">          </v>
      </c>
      <c r="P176" t="str">
        <f>CLEAN("BACKBONE                                                                                            ")</f>
        <v xml:space="preserve">BACKBONE                                                                                            </v>
      </c>
    </row>
    <row r="177" spans="1:16" x14ac:dyDescent="0.25">
      <c r="A177" t="str">
        <f t="shared" si="53"/>
        <v>10</v>
      </c>
      <c r="B177" t="str">
        <f t="shared" si="71"/>
        <v>24</v>
      </c>
      <c r="C177" s="1">
        <v>45944</v>
      </c>
      <c r="D177" t="str">
        <f>CLEAN("1166-04-84")</f>
        <v>1166-04-84</v>
      </c>
      <c r="E177" t="str">
        <f t="shared" si="70"/>
        <v xml:space="preserve">303  </v>
      </c>
      <c r="F177" t="str">
        <f>CLEAN("$10,000,000 - $10,999,999")</f>
        <v>$10,000,000 - $10,999,999</v>
      </c>
      <c r="G177" t="str">
        <f>CLEAN("LET")</f>
        <v>LET</v>
      </c>
      <c r="H177" t="str">
        <f>CLEAN("LET CONSTRUCTION         ")</f>
        <v xml:space="preserve">LET CONSTRUCTION         </v>
      </c>
      <c r="I177" t="str">
        <f>CLEAN("CONST/RESURFACE                    ")</f>
        <v xml:space="preserve">CONST/RESURFACE                    </v>
      </c>
      <c r="J177" t="str">
        <f>CLEAN("IH  039")</f>
        <v>IH  039</v>
      </c>
      <c r="K177" t="str">
        <f>CLEAN("MARQUETTE                     ")</f>
        <v xml:space="preserve">MARQUETTE                     </v>
      </c>
      <c r="L177" t="str">
        <f>CLEAN("PORTAGE - COLOMA                   ")</f>
        <v xml:space="preserve">PORTAGE - COLOMA                   </v>
      </c>
      <c r="M177" t="str">
        <f>CLEAN("COLUMBIA CO LINE TO FAWN COURT,SB  ")</f>
        <v xml:space="preserve">COLUMBIA CO LINE TO FAWN COURT,SB  </v>
      </c>
      <c r="N177">
        <v>12.01</v>
      </c>
      <c r="O177" t="str">
        <f t="shared" si="72"/>
        <v xml:space="preserve">          </v>
      </c>
      <c r="P177" t="str">
        <f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178" spans="1:16" x14ac:dyDescent="0.25">
      <c r="A178" t="str">
        <f t="shared" si="53"/>
        <v>10</v>
      </c>
      <c r="B178" t="str">
        <f t="shared" si="71"/>
        <v>24</v>
      </c>
      <c r="C178" s="1">
        <v>45894</v>
      </c>
      <c r="D178" t="str">
        <f>CLEAN("1166-09-62")</f>
        <v>1166-09-62</v>
      </c>
      <c r="E178" t="str">
        <f t="shared" si="70"/>
        <v xml:space="preserve">303  </v>
      </c>
      <c r="F178" t="str">
        <f>CLEAN("$15,000,000 - $16,999,999")</f>
        <v>$15,000,000 - $16,999,999</v>
      </c>
      <c r="G178" t="str">
        <f>CLEAN("D/B")</f>
        <v>D/B</v>
      </c>
      <c r="H178" t="str">
        <f>CLEAN("NONLET CONSTR/REAL ESTATE")</f>
        <v>NONLET CONSTR/REAL ESTATE</v>
      </c>
      <c r="I178" t="str">
        <f>CLEAN("CONST/JOINT REPAIRS/DES-BLD        ")</f>
        <v xml:space="preserve">CONST/JOINT REPAIRS/DES-BLD        </v>
      </c>
      <c r="J178" t="str">
        <f>CLEAN("IH  039")</f>
        <v>IH  039</v>
      </c>
      <c r="K178" t="str">
        <f>CLEAN("MARATHON                      ")</f>
        <v xml:space="preserve">MARATHON                      </v>
      </c>
      <c r="L178" t="str">
        <f>CLEAN("USH 51/STH 29 CORRIDOR-WAUSAU      ")</f>
        <v xml:space="preserve">USH 51/STH 29 CORRIDOR-WAUSAU      </v>
      </c>
      <c r="M178" t="str">
        <f>CLEAN("FOXGLOVE ROAD TO BRIDGE STREET     ")</f>
        <v xml:space="preserve">FOXGLOVE ROAD TO BRIDGE STREET     </v>
      </c>
      <c r="N178">
        <v>9.9960000000000004</v>
      </c>
      <c r="O178" t="str">
        <f t="shared" si="72"/>
        <v xml:space="preserve">          </v>
      </c>
      <c r="P178" t="str">
        <f>CLEAN("BACKBONE                                                                                            ")</f>
        <v xml:space="preserve">BACKBONE                                                                                            </v>
      </c>
    </row>
    <row r="179" spans="1:16" x14ac:dyDescent="0.25">
      <c r="A179" t="str">
        <f t="shared" si="53"/>
        <v>10</v>
      </c>
      <c r="B179" t="str">
        <f t="shared" si="71"/>
        <v>24</v>
      </c>
      <c r="C179" s="1">
        <v>45894</v>
      </c>
      <c r="D179" t="str">
        <f>CLEAN("1170-01-66")</f>
        <v>1170-01-66</v>
      </c>
      <c r="E179" t="str">
        <f t="shared" si="70"/>
        <v xml:space="preserve">303  </v>
      </c>
      <c r="F179" t="str">
        <f>CLEAN("$750,000 - $999,999      ")</f>
        <v xml:space="preserve">$750,000 - $999,999      </v>
      </c>
      <c r="G179" t="str">
        <f>CLEAN("D/B")</f>
        <v>D/B</v>
      </c>
      <c r="H179" t="str">
        <f>CLEAN("NONLET CONSTR/REAL ESTATE")</f>
        <v>NONLET CONSTR/REAL ESTATE</v>
      </c>
      <c r="I179" t="str">
        <f>CLEAN("CONST/OVERLAY/THIN POLYMER/DES-BLD ")</f>
        <v xml:space="preserve">CONST/OVERLAY/THIN POLYMER/DES-BLD </v>
      </c>
      <c r="J179" t="str">
        <f t="shared" ref="J179:J185" si="73">CLEAN("USH 051")</f>
        <v>USH 051</v>
      </c>
      <c r="K179" t="str">
        <f>CLEAN("MARATHON                      ")</f>
        <v xml:space="preserve">MARATHON                      </v>
      </c>
      <c r="L179" t="str">
        <f>CLEAN("WAUSAU - MERRILL                   ")</f>
        <v xml:space="preserve">WAUSAU - MERRILL                   </v>
      </c>
      <c r="M179" t="str">
        <f>CLEAN("B-37-346,347,349,352,353,371       ")</f>
        <v xml:space="preserve">B-37-346,347,349,352,353,371       </v>
      </c>
      <c r="N179">
        <v>0</v>
      </c>
      <c r="O179" t="str">
        <f t="shared" si="72"/>
        <v xml:space="preserve">          </v>
      </c>
      <c r="P179" t="str">
        <f>CLEAN("BACKBONE                                                                                            ")</f>
        <v xml:space="preserve">BACKBONE                                                                                            </v>
      </c>
    </row>
    <row r="180" spans="1:16" x14ac:dyDescent="0.25">
      <c r="A180" t="str">
        <f t="shared" si="53"/>
        <v>10</v>
      </c>
      <c r="B180" t="str">
        <f t="shared" si="71"/>
        <v>24</v>
      </c>
      <c r="C180" s="1">
        <v>45894</v>
      </c>
      <c r="D180" t="str">
        <f>CLEAN("1170-01-67")</f>
        <v>1170-01-67</v>
      </c>
      <c r="E180" t="str">
        <f t="shared" si="70"/>
        <v xml:space="preserve">303  </v>
      </c>
      <c r="F180" t="str">
        <f>CLEAN("$1,000,000 - $1,999,999  ")</f>
        <v xml:space="preserve">$1,000,000 - $1,999,999  </v>
      </c>
      <c r="G180" t="str">
        <f>CLEAN("D/B")</f>
        <v>D/B</v>
      </c>
      <c r="H180" t="str">
        <f>CLEAN("NONLET CONSTR/REAL ESTATE")</f>
        <v>NONLET CONSTR/REAL ESTATE</v>
      </c>
      <c r="I180" t="str">
        <f>CLEAN("DESIGN/OVERLAY/THIN POLYMER/DES-BLD")</f>
        <v>DESIGN/OVERLAY/THIN POLYMER/DES-BLD</v>
      </c>
      <c r="J180" t="str">
        <f t="shared" si="73"/>
        <v>USH 051</v>
      </c>
      <c r="K180" t="str">
        <f>CLEAN("MARATHON                      ")</f>
        <v xml:space="preserve">MARATHON                      </v>
      </c>
      <c r="L180" t="str">
        <f>CLEAN("WAUSAU - MERRILL                   ")</f>
        <v xml:space="preserve">WAUSAU - MERRILL                   </v>
      </c>
      <c r="M180" t="str">
        <f>CLEAN("B-37-153,154,348,354,362,365,366   ")</f>
        <v xml:space="preserve">B-37-153,154,348,354,362,365,366   </v>
      </c>
      <c r="N180">
        <v>0</v>
      </c>
      <c r="O180" t="str">
        <f t="shared" si="72"/>
        <v xml:space="preserve">          </v>
      </c>
      <c r="P180" t="str">
        <f>CLEAN("BACKBONE                                                                                            ")</f>
        <v xml:space="preserve">BACKBONE                                                                                            </v>
      </c>
    </row>
    <row r="181" spans="1:16" x14ac:dyDescent="0.25">
      <c r="A181" t="str">
        <f t="shared" si="53"/>
        <v>10</v>
      </c>
      <c r="B181" t="str">
        <f t="shared" si="71"/>
        <v>24</v>
      </c>
      <c r="C181" s="1">
        <v>46035</v>
      </c>
      <c r="D181" t="str">
        <f>CLEAN("1170-16-64")</f>
        <v>1170-16-64</v>
      </c>
      <c r="E181" t="str">
        <f t="shared" si="70"/>
        <v xml:space="preserve">303  </v>
      </c>
      <c r="F181" t="str">
        <f>CLEAN("$2,000,000 - $2,999,999  ")</f>
        <v xml:space="preserve">$2,000,000 - $2,999,999  </v>
      </c>
      <c r="G181" t="str">
        <f t="shared" ref="G181:G187" si="74">CLEAN("LET")</f>
        <v>LET</v>
      </c>
      <c r="H181" t="str">
        <f t="shared" ref="H181:H187" si="75">CLEAN("LET CONSTRUCTION         ")</f>
        <v xml:space="preserve">LET CONSTRUCTION         </v>
      </c>
      <c r="I181" t="str">
        <f>CLEAN("CONST/RESURFACE                    ")</f>
        <v xml:space="preserve">CONST/RESURFACE                    </v>
      </c>
      <c r="J181" t="str">
        <f t="shared" si="73"/>
        <v>USH 051</v>
      </c>
      <c r="K181" t="str">
        <f>CLEAN("ONEIDA                        ")</f>
        <v xml:space="preserve">ONEIDA                        </v>
      </c>
      <c r="L181" t="str">
        <f>CLEAN("TOMAHAWK - MINOCQUA                ")</f>
        <v xml:space="preserve">TOMAHAWK - MINOCQUA                </v>
      </c>
      <c r="M181" t="str">
        <f>CLEAN("USH 8 TO BEARSKIN BRIDGE           ")</f>
        <v xml:space="preserve">USH 8 TO BEARSKIN BRIDGE           </v>
      </c>
      <c r="N181">
        <v>7.15</v>
      </c>
      <c r="O181" t="str">
        <f t="shared" si="72"/>
        <v xml:space="preserve">          </v>
      </c>
      <c r="P181" t="str">
        <f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182" spans="1:16" x14ac:dyDescent="0.25">
      <c r="A182" t="str">
        <f t="shared" si="53"/>
        <v>10</v>
      </c>
      <c r="B182" t="str">
        <f t="shared" si="71"/>
        <v>24</v>
      </c>
      <c r="C182" s="1">
        <v>45909</v>
      </c>
      <c r="D182" t="str">
        <f>CLEAN("1170-19-61")</f>
        <v>1170-19-61</v>
      </c>
      <c r="E182" t="str">
        <f t="shared" si="70"/>
        <v xml:space="preserve">303  </v>
      </c>
      <c r="F182" t="str">
        <f>CLEAN("$1,000,000 - $1,999,999  ")</f>
        <v xml:space="preserve">$1,000,000 - $1,999,999  </v>
      </c>
      <c r="G182" t="str">
        <f t="shared" si="74"/>
        <v>LET</v>
      </c>
      <c r="H182" t="str">
        <f t="shared" si="75"/>
        <v xml:space="preserve">LET CONSTRUCTION         </v>
      </c>
      <c r="I182" t="str">
        <f>CLEAN("CONST/RESURFACE                    ")</f>
        <v xml:space="preserve">CONST/RESURFACE                    </v>
      </c>
      <c r="J182" t="str">
        <f t="shared" si="73"/>
        <v>USH 051</v>
      </c>
      <c r="K182" t="str">
        <f>CLEAN("ONEIDA                        ")</f>
        <v xml:space="preserve">ONEIDA                        </v>
      </c>
      <c r="L182" t="str">
        <f>CLEAN("MINOCQUA - MANITOWISH              ")</f>
        <v xml:space="preserve">MINOCQUA - MANITOWISH              </v>
      </c>
      <c r="M182" t="str">
        <f>CLEAN("MINOCQUA BRIDGE TO FRONT STREET    ")</f>
        <v xml:space="preserve">MINOCQUA BRIDGE TO FRONT STREET    </v>
      </c>
      <c r="N182">
        <v>0.6</v>
      </c>
      <c r="O182" t="str">
        <f t="shared" si="72"/>
        <v xml:space="preserve">          </v>
      </c>
      <c r="P182" t="str">
        <f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183" spans="1:16" x14ac:dyDescent="0.25">
      <c r="A183" t="str">
        <f t="shared" si="53"/>
        <v>10</v>
      </c>
      <c r="B183" t="str">
        <f t="shared" si="71"/>
        <v>24</v>
      </c>
      <c r="C183" s="1">
        <v>45944</v>
      </c>
      <c r="D183" t="str">
        <f>CLEAN("1175-18-76")</f>
        <v>1175-18-76</v>
      </c>
      <c r="E183" t="str">
        <f t="shared" si="70"/>
        <v xml:space="preserve">303  </v>
      </c>
      <c r="F183" t="str">
        <f>CLEAN("$500,000 - $749,999      ")</f>
        <v xml:space="preserve">$500,000 - $749,999      </v>
      </c>
      <c r="G183" t="str">
        <f t="shared" si="74"/>
        <v>LET</v>
      </c>
      <c r="H183" t="str">
        <f t="shared" si="75"/>
        <v xml:space="preserve">LET CONSTRUCTION         </v>
      </c>
      <c r="I183" t="str">
        <f>CLEAN("CONST/RESURFACE                    ")</f>
        <v xml:space="preserve">CONST/RESURFACE                    </v>
      </c>
      <c r="J183" t="str">
        <f t="shared" si="73"/>
        <v>USH 051</v>
      </c>
      <c r="K183" t="str">
        <f>CLEAN("IRON                          ")</f>
        <v xml:space="preserve">IRON                          </v>
      </c>
      <c r="L183" t="str">
        <f>CLEAN("MANITOWISH - HURLEY                ")</f>
        <v xml:space="preserve">MANITOWISH - HURLEY                </v>
      </c>
      <c r="M183" t="str">
        <f>CLEAN("BEACHWAY DRIVE TO LAKEVIEW ROAD    ")</f>
        <v xml:space="preserve">BEACHWAY DRIVE TO LAKEVIEW ROAD    </v>
      </c>
      <c r="N183">
        <v>1</v>
      </c>
      <c r="O183" t="str">
        <f t="shared" si="72"/>
        <v xml:space="preserve">          </v>
      </c>
      <c r="P183" t="str">
        <f>CLEAN("COMMUNITY SENSITIVE DESIGN                                                                          ")</f>
        <v xml:space="preserve">COMMUNITY SENSITIVE DESIGN                                                                          </v>
      </c>
    </row>
    <row r="184" spans="1:16" x14ac:dyDescent="0.25">
      <c r="A184" t="str">
        <f t="shared" si="53"/>
        <v>10</v>
      </c>
      <c r="B184" t="str">
        <f t="shared" si="71"/>
        <v>24</v>
      </c>
      <c r="C184" s="1">
        <v>45944</v>
      </c>
      <c r="D184" t="str">
        <f>CLEAN("1175-18-76")</f>
        <v>1175-18-76</v>
      </c>
      <c r="E184" t="str">
        <f t="shared" si="70"/>
        <v xml:space="preserve">303  </v>
      </c>
      <c r="F184" t="str">
        <f>CLEAN("$500,000 - $749,999      ")</f>
        <v xml:space="preserve">$500,000 - $749,999      </v>
      </c>
      <c r="G184" t="str">
        <f t="shared" si="74"/>
        <v>LET</v>
      </c>
      <c r="H184" t="str">
        <f t="shared" si="75"/>
        <v xml:space="preserve">LET CONSTRUCTION         </v>
      </c>
      <c r="I184" t="str">
        <f>CLEAN("CONST/RESURFACE                    ")</f>
        <v xml:space="preserve">CONST/RESURFACE                    </v>
      </c>
      <c r="J184" t="str">
        <f t="shared" si="73"/>
        <v>USH 051</v>
      </c>
      <c r="K184" t="str">
        <f>CLEAN("IRON                          ")</f>
        <v xml:space="preserve">IRON                          </v>
      </c>
      <c r="L184" t="str">
        <f>CLEAN("MANITOWISH - HURLEY                ")</f>
        <v xml:space="preserve">MANITOWISH - HURLEY                </v>
      </c>
      <c r="M184" t="str">
        <f>CLEAN("BEACHWAY DRIVE TO LAKEVIEW ROAD    ")</f>
        <v xml:space="preserve">BEACHWAY DRIVE TO LAKEVIEW ROAD    </v>
      </c>
      <c r="N184">
        <v>1</v>
      </c>
      <c r="O184" t="str">
        <f t="shared" si="72"/>
        <v xml:space="preserve">          </v>
      </c>
      <c r="P184" t="str">
        <f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185" spans="1:16" x14ac:dyDescent="0.25">
      <c r="A185" t="str">
        <f t="shared" si="53"/>
        <v>10</v>
      </c>
      <c r="B185" t="str">
        <f t="shared" si="71"/>
        <v>24</v>
      </c>
      <c r="C185" s="1">
        <v>45909</v>
      </c>
      <c r="D185" t="str">
        <f>CLEAN("1176-23-65")</f>
        <v>1176-23-65</v>
      </c>
      <c r="E185" t="str">
        <f t="shared" si="70"/>
        <v xml:space="preserve">303  </v>
      </c>
      <c r="F185" t="str">
        <f>CLEAN("$500,000 - $749,999      ")</f>
        <v xml:space="preserve">$500,000 - $749,999      </v>
      </c>
      <c r="G185" t="str">
        <f t="shared" si="74"/>
        <v>LET</v>
      </c>
      <c r="H185" t="str">
        <f t="shared" si="75"/>
        <v xml:space="preserve">LET CONSTRUCTION         </v>
      </c>
      <c r="I185" t="str">
        <f>CLEAN("CONST/DECK OVERLAY                 ")</f>
        <v xml:space="preserve">CONST/DECK OVERLAY                 </v>
      </c>
      <c r="J185" t="str">
        <f t="shared" si="73"/>
        <v>USH 051</v>
      </c>
      <c r="K185" t="str">
        <f>CLEAN("LINCOLN                       ")</f>
        <v xml:space="preserve">LINCOLN                       </v>
      </c>
      <c r="L185" t="str">
        <f>CLEAN("TOMAHAWK - MINOCQUA                ")</f>
        <v xml:space="preserve">TOMAHAWK - MINOCQUA                </v>
      </c>
      <c r="M185" t="str">
        <f>CLEAN("STRUCTURE B-35-0059                ")</f>
        <v xml:space="preserve">STRUCTURE B-35-0059                </v>
      </c>
      <c r="N185">
        <v>0.11</v>
      </c>
      <c r="O185" t="str">
        <f t="shared" si="72"/>
        <v xml:space="preserve">          </v>
      </c>
      <c r="P185" t="str">
        <f>CLEAN("BACKBONE                                                                                            ")</f>
        <v xml:space="preserve">BACKBONE                                                                                            </v>
      </c>
    </row>
    <row r="186" spans="1:16" x14ac:dyDescent="0.25">
      <c r="A186" t="str">
        <f t="shared" si="53"/>
        <v>10</v>
      </c>
      <c r="B186" t="str">
        <f t="shared" ref="B186:B193" si="76">CLEAN("25")</f>
        <v>25</v>
      </c>
      <c r="C186" s="1">
        <v>45909</v>
      </c>
      <c r="D186" t="str">
        <f>CLEAN("1180-00-79")</f>
        <v>1180-00-79</v>
      </c>
      <c r="E186" t="str">
        <f t="shared" si="70"/>
        <v xml:space="preserve">303  </v>
      </c>
      <c r="F186" t="str">
        <f>CLEAN("$1,000,000 - $1,999,999  ")</f>
        <v xml:space="preserve">$1,000,000 - $1,999,999  </v>
      </c>
      <c r="G186" t="str">
        <f t="shared" si="74"/>
        <v>LET</v>
      </c>
      <c r="H186" t="str">
        <f t="shared" si="75"/>
        <v xml:space="preserve">LET CONSTRUCTION         </v>
      </c>
      <c r="I186" t="str">
        <f>CLEAN("CONSTR/BRIDGE REHABILITATION/REDECK")</f>
        <v>CONSTR/BRIDGE REHABILITATION/REDECK</v>
      </c>
      <c r="J186" t="str">
        <f>CLEAN("USH 002")</f>
        <v>USH 002</v>
      </c>
      <c r="K186" t="str">
        <f>CLEAN("BAYFIELD                      ")</f>
        <v xml:space="preserve">BAYFIELD                      </v>
      </c>
      <c r="L186" t="str">
        <f>CLEAN("INO - ASHLAND                      ")</f>
        <v xml:space="preserve">INO - ASHLAND                      </v>
      </c>
      <c r="M186" t="str">
        <f>CLEAN("N FISH CREEK BRIDGE B-04-0022      ")</f>
        <v xml:space="preserve">N FISH CREEK BRIDGE B-04-0022      </v>
      </c>
      <c r="N186">
        <v>0.246</v>
      </c>
      <c r="O186" t="str">
        <f t="shared" si="72"/>
        <v xml:space="preserve">          </v>
      </c>
      <c r="P186" t="str">
        <f>CLEAN("SHR BRIDGES                                                                                         ")</f>
        <v xml:space="preserve">SHR BRIDGES                                                                                         </v>
      </c>
    </row>
    <row r="187" spans="1:16" x14ac:dyDescent="0.25">
      <c r="A187" t="str">
        <f t="shared" si="53"/>
        <v>10</v>
      </c>
      <c r="B187" t="str">
        <f t="shared" si="76"/>
        <v>25</v>
      </c>
      <c r="C187" s="1">
        <v>45972</v>
      </c>
      <c r="D187" t="str">
        <f>CLEAN("1195-03-70")</f>
        <v>1195-03-70</v>
      </c>
      <c r="E187" t="str">
        <f t="shared" si="70"/>
        <v xml:space="preserve">303  </v>
      </c>
      <c r="F187" t="str">
        <f>CLEAN("$1,000,000 - $1,999,999  ")</f>
        <v xml:space="preserve">$1,000,000 - $1,999,999  </v>
      </c>
      <c r="G187" t="str">
        <f t="shared" si="74"/>
        <v>LET</v>
      </c>
      <c r="H187" t="str">
        <f t="shared" si="75"/>
        <v xml:space="preserve">LET CONSTRUCTION         </v>
      </c>
      <c r="I187" t="str">
        <f>CLEAN("CONSTRUCTION/BRIDGE REHABILITATION ")</f>
        <v xml:space="preserve">CONSTRUCTION/BRIDGE REHABILITATION </v>
      </c>
      <c r="J187" t="str">
        <f>CLEAN("USH 002")</f>
        <v>USH 002</v>
      </c>
      <c r="K187" t="str">
        <f t="shared" ref="K187:K193" si="77">CLEAN("DOUGLAS                       ")</f>
        <v xml:space="preserve">DOUGLAS                       </v>
      </c>
      <c r="L187" t="str">
        <f>CLEAN("SUPERIOR - WENTWORTH               ")</f>
        <v xml:space="preserve">SUPERIOR - WENTWORTH               </v>
      </c>
      <c r="M187" t="str">
        <f>CLEAN("STH 13 BRIDGE B-16-0024            ")</f>
        <v xml:space="preserve">STH 13 BRIDGE B-16-0024            </v>
      </c>
      <c r="N187">
        <v>0.1</v>
      </c>
      <c r="O187" t="str">
        <f t="shared" si="72"/>
        <v xml:space="preserve">          </v>
      </c>
      <c r="P187" t="str">
        <f>CLEAN("BACKBONE                                                                                            ")</f>
        <v xml:space="preserve">BACKBONE                                                                                            </v>
      </c>
    </row>
    <row r="188" spans="1:16" x14ac:dyDescent="0.25">
      <c r="A188" t="str">
        <f t="shared" si="53"/>
        <v>10</v>
      </c>
      <c r="B188" t="str">
        <f t="shared" si="76"/>
        <v>25</v>
      </c>
      <c r="C188" s="1">
        <v>46198</v>
      </c>
      <c r="D188" t="str">
        <f>CLEAN("1199-00-20")</f>
        <v>1199-00-20</v>
      </c>
      <c r="E188" t="str">
        <f t="shared" ref="E188:E193" si="78">CLEAN("304  ")</f>
        <v xml:space="preserve">304  </v>
      </c>
      <c r="F188" t="str">
        <f>CLEAN("$30,000,000 - $34,999,999")</f>
        <v>$30,000,000 - $34,999,999</v>
      </c>
      <c r="G188" t="str">
        <f>CLEAN("R/E")</f>
        <v>R/E</v>
      </c>
      <c r="H188" t="str">
        <f t="shared" ref="H188:H194" si="79">CLEAN("NONLET CONSTR/REAL ESTATE")</f>
        <v>NONLET CONSTR/REAL ESTATE</v>
      </c>
      <c r="I188" t="str">
        <f>CLEAN("REAL ESTATE ACQUISITION            ")</f>
        <v xml:space="preserve">REAL ESTATE ACQUISITION            </v>
      </c>
      <c r="J188" t="str">
        <f t="shared" ref="J188:J193" si="80">CLEAN("IH  535")</f>
        <v>IH  535</v>
      </c>
      <c r="K188" t="str">
        <f t="shared" si="77"/>
        <v xml:space="preserve">DOUGLAS                       </v>
      </c>
      <c r="L188" t="str">
        <f>CLEAN("SUPERIOR - DULUTH                  ")</f>
        <v xml:space="preserve">SUPERIOR - DULUTH                  </v>
      </c>
      <c r="M188" t="str">
        <f>CLEAN("STLOUIS RV BR B16-0005-0001 TO 0005")</f>
        <v>STLOUIS RV BR B16-0005-0001 TO 0005</v>
      </c>
      <c r="N188">
        <v>0</v>
      </c>
      <c r="O188" t="str">
        <f t="shared" si="72"/>
        <v xml:space="preserve">          </v>
      </c>
      <c r="P188" t="str">
        <f t="shared" ref="P188:P193" si="81">CLEAN("MAJOR INTERSTATE BRIDGE CONSTRUCTION                                                                ")</f>
        <v xml:space="preserve">MAJOR INTERSTATE BRIDGE CONSTRUCTION                                                                </v>
      </c>
    </row>
    <row r="189" spans="1:16" x14ac:dyDescent="0.25">
      <c r="A189" t="str">
        <f t="shared" si="53"/>
        <v>10</v>
      </c>
      <c r="B189" t="str">
        <f t="shared" si="76"/>
        <v>25</v>
      </c>
      <c r="C189" s="1">
        <v>46198</v>
      </c>
      <c r="D189" t="str">
        <f>CLEAN("1199-00-40")</f>
        <v>1199-00-40</v>
      </c>
      <c r="E189" t="str">
        <f t="shared" si="78"/>
        <v xml:space="preserve">304  </v>
      </c>
      <c r="F189" t="str">
        <f>CLEAN("$6,000,000 - $6,999,999  ")</f>
        <v xml:space="preserve">$6,000,000 - $6,999,999  </v>
      </c>
      <c r="G189" t="str">
        <f>CLEAN("UTL")</f>
        <v>UTL</v>
      </c>
      <c r="H189" t="str">
        <f t="shared" si="79"/>
        <v>NONLET CONSTR/REAL ESTATE</v>
      </c>
      <c r="I189" t="str">
        <f>CLEAN("EX- UTILITY/LEVEL-OF-EFFORT        ")</f>
        <v xml:space="preserve">EX- UTILITY/LEVEL-OF-EFFORT        </v>
      </c>
      <c r="J189" t="str">
        <f t="shared" si="80"/>
        <v>IH  535</v>
      </c>
      <c r="K189" t="str">
        <f t="shared" si="77"/>
        <v xml:space="preserve">DOUGLAS                       </v>
      </c>
      <c r="L189" t="str">
        <f>CLEAN("EX- SUPERIOR - DULUTH              ")</f>
        <v xml:space="preserve">EX- SUPERIOR - DULUTH              </v>
      </c>
      <c r="M189" t="str">
        <f>CLEAN("STLOUIS RV BR B16-0005-0001 TO 0005")</f>
        <v>STLOUIS RV BR B16-0005-0001 TO 0005</v>
      </c>
      <c r="N189">
        <v>0</v>
      </c>
      <c r="O189" t="str">
        <f t="shared" si="72"/>
        <v xml:space="preserve">          </v>
      </c>
      <c r="P189" t="str">
        <f t="shared" si="81"/>
        <v xml:space="preserve">MAJOR INTERSTATE BRIDGE CONSTRUCTION                                                                </v>
      </c>
    </row>
    <row r="190" spans="1:16" x14ac:dyDescent="0.25">
      <c r="A190" t="str">
        <f t="shared" si="53"/>
        <v>10</v>
      </c>
      <c r="B190" t="str">
        <f t="shared" si="76"/>
        <v>25</v>
      </c>
      <c r="C190" s="1">
        <v>45894</v>
      </c>
      <c r="D190" t="str">
        <f>CLEAN("1199-00-41")</f>
        <v>1199-00-41</v>
      </c>
      <c r="E190" t="str">
        <f t="shared" si="78"/>
        <v xml:space="preserve">304  </v>
      </c>
      <c r="F190" t="str">
        <f>CLEAN("$100,000-$249,999        ")</f>
        <v xml:space="preserve">$100,000-$249,999        </v>
      </c>
      <c r="G190" t="str">
        <f>CLEAN("UTL")</f>
        <v>UTL</v>
      </c>
      <c r="H190" t="str">
        <f t="shared" si="79"/>
        <v>NONLET CONSTR/REAL ESTATE</v>
      </c>
      <c r="I190" t="str">
        <f>CLEAN("UTL/C SUPERIOR SANITARY/1199-00-77 ")</f>
        <v xml:space="preserve">UTL/C SUPERIOR SANITARY/1199-00-77 </v>
      </c>
      <c r="J190" t="str">
        <f t="shared" si="80"/>
        <v>IH  535</v>
      </c>
      <c r="K190" t="str">
        <f t="shared" si="77"/>
        <v xml:space="preserve">DOUGLAS                       </v>
      </c>
      <c r="L190" t="str">
        <f>CLEAN("SUPERIOR - DULUTH                  ")</f>
        <v xml:space="preserve">SUPERIOR - DULUTH                  </v>
      </c>
      <c r="M190" t="str">
        <f>CLEAN("STLOUIS RV BR B16-0005-0001 TO 0005")</f>
        <v>STLOUIS RV BR B16-0005-0001 TO 0005</v>
      </c>
      <c r="N190">
        <v>0</v>
      </c>
      <c r="O190" t="str">
        <f t="shared" si="72"/>
        <v xml:space="preserve">          </v>
      </c>
      <c r="P190" t="str">
        <f t="shared" si="81"/>
        <v xml:space="preserve">MAJOR INTERSTATE BRIDGE CONSTRUCTION                                                                </v>
      </c>
    </row>
    <row r="191" spans="1:16" x14ac:dyDescent="0.25">
      <c r="A191" t="str">
        <f t="shared" ref="A191:A254" si="82">CLEAN("10")</f>
        <v>10</v>
      </c>
      <c r="B191" t="str">
        <f t="shared" si="76"/>
        <v>25</v>
      </c>
      <c r="C191" s="1">
        <v>46078</v>
      </c>
      <c r="D191" t="str">
        <f>CLEAN("1199-00-50")</f>
        <v>1199-00-50</v>
      </c>
      <c r="E191" t="str">
        <f t="shared" si="78"/>
        <v xml:space="preserve">304  </v>
      </c>
      <c r="F191" t="str">
        <f>CLEAN("$250,000 - $499,999      ")</f>
        <v xml:space="preserve">$250,000 - $499,999      </v>
      </c>
      <c r="G191" t="str">
        <f>CLEAN("R/R")</f>
        <v>R/R</v>
      </c>
      <c r="H191" t="str">
        <f t="shared" si="79"/>
        <v>NONLET CONSTR/REAL ESTATE</v>
      </c>
      <c r="I191" t="str">
        <f>CLEAN("RR OPS - SIGNALS/1199-00-77        ")</f>
        <v xml:space="preserve">RR OPS - SIGNALS/1199-00-77        </v>
      </c>
      <c r="J191" t="str">
        <f t="shared" si="80"/>
        <v>IH  535</v>
      </c>
      <c r="K191" t="str">
        <f t="shared" si="77"/>
        <v xml:space="preserve">DOUGLAS                       </v>
      </c>
      <c r="L191" t="str">
        <f>CLEAN("SUPERIOR - DULUTH                  ")</f>
        <v xml:space="preserve">SUPERIOR - DULUTH                  </v>
      </c>
      <c r="M191" t="str">
        <f>CLEAN("UP RR XING 186166U &amp; 186165M       ")</f>
        <v xml:space="preserve">UP RR XING 186166U &amp; 186165M       </v>
      </c>
      <c r="N191">
        <v>0</v>
      </c>
      <c r="O191" t="str">
        <f t="shared" si="72"/>
        <v xml:space="preserve">          </v>
      </c>
      <c r="P191" t="str">
        <f t="shared" si="81"/>
        <v xml:space="preserve">MAJOR INTERSTATE BRIDGE CONSTRUCTION                                                                </v>
      </c>
    </row>
    <row r="192" spans="1:16" x14ac:dyDescent="0.25">
      <c r="A192" t="str">
        <f t="shared" si="82"/>
        <v>10</v>
      </c>
      <c r="B192" t="str">
        <f t="shared" si="76"/>
        <v>25</v>
      </c>
      <c r="C192" s="1">
        <v>46078</v>
      </c>
      <c r="D192" t="str">
        <f>CLEAN("1199-00-51")</f>
        <v>1199-00-51</v>
      </c>
      <c r="E192" t="str">
        <f t="shared" si="78"/>
        <v xml:space="preserve">304  </v>
      </c>
      <c r="F192" t="str">
        <f>CLEAN("$250,000 - $499,999      ")</f>
        <v xml:space="preserve">$250,000 - $499,999      </v>
      </c>
      <c r="G192" t="str">
        <f>CLEAN("R/R")</f>
        <v>R/R</v>
      </c>
      <c r="H192" t="str">
        <f t="shared" si="79"/>
        <v>NONLET CONSTR/REAL ESTATE</v>
      </c>
      <c r="I192" t="str">
        <f>CLEAN("RR OPS - SIGNALS/1199-00-77        ")</f>
        <v xml:space="preserve">RR OPS - SIGNALS/1199-00-77        </v>
      </c>
      <c r="J192" t="str">
        <f t="shared" si="80"/>
        <v>IH  535</v>
      </c>
      <c r="K192" t="str">
        <f t="shared" si="77"/>
        <v xml:space="preserve">DOUGLAS                       </v>
      </c>
      <c r="L192" t="str">
        <f>CLEAN("SUPERIOR - DULUTH                  ")</f>
        <v xml:space="preserve">SUPERIOR - DULUTH                  </v>
      </c>
      <c r="M192" t="str">
        <f>CLEAN("UP RR XING 186169P                 ")</f>
        <v xml:space="preserve">UP RR XING 186169P                 </v>
      </c>
      <c r="N192">
        <v>0</v>
      </c>
      <c r="O192" t="str">
        <f t="shared" si="72"/>
        <v xml:space="preserve">          </v>
      </c>
      <c r="P192" t="str">
        <f t="shared" si="81"/>
        <v xml:space="preserve">MAJOR INTERSTATE BRIDGE CONSTRUCTION                                                                </v>
      </c>
    </row>
    <row r="193" spans="1:16" x14ac:dyDescent="0.25">
      <c r="A193" t="str">
        <f t="shared" si="82"/>
        <v>10</v>
      </c>
      <c r="B193" t="str">
        <f t="shared" si="76"/>
        <v>25</v>
      </c>
      <c r="C193" s="1">
        <v>46198</v>
      </c>
      <c r="D193" t="str">
        <f>CLEAN("1199-00-77")</f>
        <v>1199-00-77</v>
      </c>
      <c r="E193" t="str">
        <f t="shared" si="78"/>
        <v xml:space="preserve">304  </v>
      </c>
      <c r="F193" t="str">
        <f>CLEAN("$100 MILLION OR GREATER  ")</f>
        <v xml:space="preserve">$100 MILLION OR GREATER  </v>
      </c>
      <c r="G193" t="str">
        <f>CLEAN("OST")</f>
        <v>OST</v>
      </c>
      <c r="H193" t="str">
        <f t="shared" si="79"/>
        <v>NONLET CONSTR/REAL ESTATE</v>
      </c>
      <c r="I193" t="str">
        <f>CLEAN("CONSTR/REIMBURSEMENT TO MINNESOTA  ")</f>
        <v xml:space="preserve">CONSTR/REIMBURSEMENT TO MINNESOTA  </v>
      </c>
      <c r="J193" t="str">
        <f t="shared" si="80"/>
        <v>IH  535</v>
      </c>
      <c r="K193" t="str">
        <f t="shared" si="77"/>
        <v xml:space="preserve">DOUGLAS                       </v>
      </c>
      <c r="L193" t="str">
        <f>CLEAN("SUPERIOR - DULUTH                  ")</f>
        <v xml:space="preserve">SUPERIOR - DULUTH                  </v>
      </c>
      <c r="M193" t="str">
        <f>CLEAN("STLOUIS RV BR B16-0005-0001 TO 0005")</f>
        <v>STLOUIS RV BR B16-0005-0001 TO 0005</v>
      </c>
      <c r="N193">
        <v>0</v>
      </c>
      <c r="O193" t="str">
        <f t="shared" si="72"/>
        <v xml:space="preserve">          </v>
      </c>
      <c r="P193" t="str">
        <f t="shared" si="81"/>
        <v xml:space="preserve">MAJOR INTERSTATE BRIDGE CONSTRUCTION                                                                </v>
      </c>
    </row>
    <row r="194" spans="1:16" x14ac:dyDescent="0.25">
      <c r="A194" t="str">
        <f t="shared" si="82"/>
        <v>10</v>
      </c>
      <c r="B194" t="str">
        <f>CLEAN("21")</f>
        <v>21</v>
      </c>
      <c r="C194" s="1">
        <v>45894</v>
      </c>
      <c r="D194" t="str">
        <f>CLEAN("1204-00-62")</f>
        <v>1204-00-62</v>
      </c>
      <c r="E194" t="str">
        <f t="shared" ref="E194:E202" si="83">CLEAN("303  ")</f>
        <v xml:space="preserve">303  </v>
      </c>
      <c r="F194" t="str">
        <f>CLEAN("$100,000-$249,999        ")</f>
        <v xml:space="preserve">$100,000-$249,999        </v>
      </c>
      <c r="G194" t="str">
        <f>CLEAN("LFA")</f>
        <v>LFA</v>
      </c>
      <c r="H194" t="str">
        <f t="shared" si="79"/>
        <v>NONLET CONSTR/REAL ESTATE</v>
      </c>
      <c r="I194" t="str">
        <f>CLEAN("LFA/MEDIAN SAFETY IMPROVEMENTS/MISC")</f>
        <v>LFA/MEDIAN SAFETY IMPROVEMENTS/MISC</v>
      </c>
      <c r="J194" t="str">
        <f>CLEAN("USH 018")</f>
        <v>USH 018</v>
      </c>
      <c r="K194" t="str">
        <f>CLEAN("IOWA                          ")</f>
        <v xml:space="preserve">IOWA                          </v>
      </c>
      <c r="L194" t="str">
        <f>CLEAN("DODGEVILLE - MOUNT HOREB           ")</f>
        <v xml:space="preserve">DODGEVILLE - MOUNT HOREB           </v>
      </c>
      <c r="M194" t="str">
        <f>CLEAN("CTH K INTERSECTION                 ")</f>
        <v xml:space="preserve">CTH K INTERSECTION                 </v>
      </c>
      <c r="N194">
        <v>0.151</v>
      </c>
      <c r="O194" t="str">
        <f t="shared" si="72"/>
        <v xml:space="preserve">          </v>
      </c>
      <c r="P194" t="str">
        <f>CLEAN("BACKBONE                                                                                            ")</f>
        <v xml:space="preserve">BACKBONE                                                                                            </v>
      </c>
    </row>
    <row r="195" spans="1:16" x14ac:dyDescent="0.25">
      <c r="A195" t="str">
        <f t="shared" si="82"/>
        <v>10</v>
      </c>
      <c r="B195" t="str">
        <f>CLEAN("21")</f>
        <v>21</v>
      </c>
      <c r="C195" s="1">
        <v>46000</v>
      </c>
      <c r="D195" t="str">
        <f>CLEAN("1204-05-77")</f>
        <v>1204-05-77</v>
      </c>
      <c r="E195" t="str">
        <f t="shared" si="83"/>
        <v xml:space="preserve">303  </v>
      </c>
      <c r="F195" t="str">
        <f>CLEAN("$2,000,000 - $2,999,999  ")</f>
        <v xml:space="preserve">$2,000,000 - $2,999,999  </v>
      </c>
      <c r="G195" t="str">
        <f t="shared" ref="G195:G200" si="84">CLEAN("LET")</f>
        <v>LET</v>
      </c>
      <c r="H195" t="str">
        <f t="shared" ref="H195:H200" si="85">CLEAN("LET CONSTRUCTION         ")</f>
        <v xml:space="preserve">LET CONSTRUCTION         </v>
      </c>
      <c r="I195" t="str">
        <f>CLEAN("CONST/HSIP/MISC                    ")</f>
        <v xml:space="preserve">CONST/HSIP/MISC                    </v>
      </c>
      <c r="J195" t="str">
        <f>CLEAN("USH 018")</f>
        <v>USH 018</v>
      </c>
      <c r="K195" t="str">
        <f>CLEAN("DANE                          ")</f>
        <v xml:space="preserve">DANE                          </v>
      </c>
      <c r="L195" t="str">
        <f>CLEAN("DODGEVILLE - MOUNT HOREB           ")</f>
        <v xml:space="preserve">DODGEVILLE - MOUNT HOREB           </v>
      </c>
      <c r="M195" t="str">
        <f>CLEAN("CTH F INTERSECTION                 ")</f>
        <v xml:space="preserve">CTH F INTERSECTION                 </v>
      </c>
      <c r="N195">
        <v>0.64500000000000002</v>
      </c>
      <c r="O195" t="str">
        <f t="shared" si="72"/>
        <v xml:space="preserve">          </v>
      </c>
      <c r="P195" t="str">
        <f>CLEAN("BACKBONE                                                                                            ")</f>
        <v xml:space="preserve">BACKBONE                                                                                            </v>
      </c>
    </row>
    <row r="196" spans="1:16" x14ac:dyDescent="0.25">
      <c r="A196" t="str">
        <f t="shared" si="82"/>
        <v>10</v>
      </c>
      <c r="B196" t="str">
        <f>CLEAN("21")</f>
        <v>21</v>
      </c>
      <c r="C196" s="1">
        <v>46000</v>
      </c>
      <c r="D196" t="str">
        <f>CLEAN("1204-05-77")</f>
        <v>1204-05-77</v>
      </c>
      <c r="E196" t="str">
        <f t="shared" si="83"/>
        <v xml:space="preserve">303  </v>
      </c>
      <c r="F196" t="str">
        <f>CLEAN("$2,000,000 - $2,999,999  ")</f>
        <v xml:space="preserve">$2,000,000 - $2,999,999  </v>
      </c>
      <c r="G196" t="str">
        <f t="shared" si="84"/>
        <v>LET</v>
      </c>
      <c r="H196" t="str">
        <f t="shared" si="85"/>
        <v xml:space="preserve">LET CONSTRUCTION         </v>
      </c>
      <c r="I196" t="str">
        <f>CLEAN("CONST/HSIP/MISC                    ")</f>
        <v xml:space="preserve">CONST/HSIP/MISC                    </v>
      </c>
      <c r="J196" t="str">
        <f>CLEAN("USH 018")</f>
        <v>USH 018</v>
      </c>
      <c r="K196" t="str">
        <f>CLEAN("DANE                          ")</f>
        <v xml:space="preserve">DANE                          </v>
      </c>
      <c r="L196" t="str">
        <f>CLEAN("DODGEVILLE - MOUNT HOREB           ")</f>
        <v xml:space="preserve">DODGEVILLE - MOUNT HOREB           </v>
      </c>
      <c r="M196" t="str">
        <f>CLEAN("CTH F INTERSECTION                 ")</f>
        <v xml:space="preserve">CTH F INTERSECTION                 </v>
      </c>
      <c r="N196">
        <v>0.64500000000000002</v>
      </c>
      <c r="O196" t="str">
        <f t="shared" si="72"/>
        <v xml:space="preserve">          </v>
      </c>
      <c r="P196" t="str">
        <f>CLEAN("SAFETY (REGULAR HSIP)                                                                               ")</f>
        <v xml:space="preserve">SAFETY (REGULAR HSIP)                                                                               </v>
      </c>
    </row>
    <row r="197" spans="1:16" x14ac:dyDescent="0.25">
      <c r="A197" t="str">
        <f t="shared" si="82"/>
        <v>10</v>
      </c>
      <c r="B197" t="str">
        <f>CLEAN("23")</f>
        <v>23</v>
      </c>
      <c r="C197" s="1">
        <v>46000</v>
      </c>
      <c r="D197" t="str">
        <f>CLEAN("1222-13-71")</f>
        <v>1222-13-71</v>
      </c>
      <c r="E197" t="str">
        <f t="shared" si="83"/>
        <v xml:space="preserve">303  </v>
      </c>
      <c r="F197" t="str">
        <f>CLEAN("$20,000,000 - $24,999,999")</f>
        <v>$20,000,000 - $24,999,999</v>
      </c>
      <c r="G197" t="str">
        <f t="shared" si="84"/>
        <v>LET</v>
      </c>
      <c r="H197" t="str">
        <f t="shared" si="85"/>
        <v xml:space="preserve">LET CONSTRUCTION         </v>
      </c>
      <c r="I197" t="str">
        <f>CLEAN("CONST OPS/RSRF20                   ")</f>
        <v xml:space="preserve">CONST OPS/RSRF20                   </v>
      </c>
      <c r="J197" t="str">
        <f>CLEAN("IH  043")</f>
        <v>IH  043</v>
      </c>
      <c r="K197" t="str">
        <f>CLEAN("SHEBOYGAN                     ")</f>
        <v xml:space="preserve">SHEBOYGAN                     </v>
      </c>
      <c r="L197" t="str">
        <f>CLEAN("PORT WASHINGTON-SHEBOYGAN          ")</f>
        <v xml:space="preserve">PORT WASHINGTON-SHEBOYGAN          </v>
      </c>
      <c r="M197" t="str">
        <f>CLEAN("WILSON/LIMA ROAD - STH 42          ")</f>
        <v xml:space="preserve">WILSON/LIMA ROAD - STH 42          </v>
      </c>
      <c r="N197">
        <v>10.396000000000001</v>
      </c>
      <c r="O197" t="str">
        <f t="shared" si="72"/>
        <v xml:space="preserve">          </v>
      </c>
      <c r="P197" t="str">
        <f>CLEAN("BACKBONE                                                                                            ")</f>
        <v xml:space="preserve">BACKBONE                                                                                            </v>
      </c>
    </row>
    <row r="198" spans="1:16" x14ac:dyDescent="0.25">
      <c r="A198" t="str">
        <f t="shared" si="82"/>
        <v>10</v>
      </c>
      <c r="B198" t="str">
        <f>CLEAN("23")</f>
        <v>23</v>
      </c>
      <c r="C198" s="1">
        <v>46000</v>
      </c>
      <c r="D198" t="str">
        <f>CLEAN("1222-13-71")</f>
        <v>1222-13-71</v>
      </c>
      <c r="E198" t="str">
        <f t="shared" si="83"/>
        <v xml:space="preserve">303  </v>
      </c>
      <c r="F198" t="str">
        <f>CLEAN("$20,000,000 - $24,999,999")</f>
        <v>$20,000,000 - $24,999,999</v>
      </c>
      <c r="G198" t="str">
        <f t="shared" si="84"/>
        <v>LET</v>
      </c>
      <c r="H198" t="str">
        <f t="shared" si="85"/>
        <v xml:space="preserve">LET CONSTRUCTION         </v>
      </c>
      <c r="I198" t="str">
        <f>CLEAN("CONST OPS/RSRF20                   ")</f>
        <v xml:space="preserve">CONST OPS/RSRF20                   </v>
      </c>
      <c r="J198" t="str">
        <f>CLEAN("IH  043")</f>
        <v>IH  043</v>
      </c>
      <c r="K198" t="str">
        <f>CLEAN("SHEBOYGAN                     ")</f>
        <v xml:space="preserve">SHEBOYGAN                     </v>
      </c>
      <c r="L198" t="str">
        <f>CLEAN("PORT WASHINGTON-SHEBOYGAN          ")</f>
        <v xml:space="preserve">PORT WASHINGTON-SHEBOYGAN          </v>
      </c>
      <c r="M198" t="str">
        <f>CLEAN("WILSON/LIMA ROAD - STH 42          ")</f>
        <v xml:space="preserve">WILSON/LIMA ROAD - STH 42          </v>
      </c>
      <c r="N198">
        <v>10.396000000000001</v>
      </c>
      <c r="O198" t="str">
        <f t="shared" si="72"/>
        <v xml:space="preserve">          </v>
      </c>
      <c r="P198" t="str">
        <f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199" spans="1:16" x14ac:dyDescent="0.25">
      <c r="A199" t="str">
        <f t="shared" si="82"/>
        <v>10</v>
      </c>
      <c r="B199" t="str">
        <f>CLEAN("23")</f>
        <v>23</v>
      </c>
      <c r="C199" s="1">
        <v>46245</v>
      </c>
      <c r="D199" t="str">
        <f>CLEAN("1227-08-73")</f>
        <v>1227-08-73</v>
      </c>
      <c r="E199" t="str">
        <f t="shared" si="83"/>
        <v xml:space="preserve">303  </v>
      </c>
      <c r="F199" t="str">
        <f>CLEAN("$20,000,000 - $24,999,999")</f>
        <v>$20,000,000 - $24,999,999</v>
      </c>
      <c r="G199" t="str">
        <f t="shared" si="84"/>
        <v>LET</v>
      </c>
      <c r="H199" t="str">
        <f t="shared" si="85"/>
        <v xml:space="preserve">LET CONSTRUCTION         </v>
      </c>
      <c r="I199" t="str">
        <f>CLEAN("CONST OPS/RSRF30                   ")</f>
        <v xml:space="preserve">CONST OPS/RSRF30                   </v>
      </c>
      <c r="J199" t="str">
        <f>CLEAN("IH  043")</f>
        <v>IH  043</v>
      </c>
      <c r="K199" t="str">
        <f>CLEAN("BROWN                         ")</f>
        <v xml:space="preserve">BROWN                         </v>
      </c>
      <c r="L199" t="str">
        <f>CLEAN("MANITOWOC - GREEN BAY              ")</f>
        <v xml:space="preserve">MANITOWOC - GREEN BAY              </v>
      </c>
      <c r="M199" t="str">
        <f>CLEAN("STH 172 - ATKINSON DRIVE           ")</f>
        <v xml:space="preserve">STH 172 - ATKINSON DRIVE           </v>
      </c>
      <c r="N199">
        <v>9.5</v>
      </c>
      <c r="O199" t="str">
        <f t="shared" si="72"/>
        <v xml:space="preserve">          </v>
      </c>
      <c r="P199" t="str">
        <f>CLEAN("BACKBONE                                                                                            ")</f>
        <v xml:space="preserve">BACKBONE                                                                                            </v>
      </c>
    </row>
    <row r="200" spans="1:16" x14ac:dyDescent="0.25">
      <c r="A200" t="str">
        <f t="shared" si="82"/>
        <v>10</v>
      </c>
      <c r="B200" t="str">
        <f t="shared" ref="B200:B206" si="86">CLEAN("22")</f>
        <v>22</v>
      </c>
      <c r="C200" s="1">
        <v>46063</v>
      </c>
      <c r="D200" t="str">
        <f>CLEAN("1228-09-77")</f>
        <v>1228-09-77</v>
      </c>
      <c r="E200" t="str">
        <f t="shared" si="83"/>
        <v xml:space="preserve">303  </v>
      </c>
      <c r="F200" t="str">
        <f>CLEAN("$6,000,000 - $6,999,999  ")</f>
        <v xml:space="preserve">$6,000,000 - $6,999,999  </v>
      </c>
      <c r="G200" t="str">
        <f t="shared" si="84"/>
        <v>LET</v>
      </c>
      <c r="H200" t="str">
        <f t="shared" si="85"/>
        <v xml:space="preserve">LET CONSTRUCTION         </v>
      </c>
      <c r="I200" t="str">
        <f>CLEAN("CONST/RECONSTRUCT                  ")</f>
        <v xml:space="preserve">CONST/RECONSTRUCT                  </v>
      </c>
      <c r="J200" t="str">
        <f>CLEAN("OFF SYS")</f>
        <v>OFF SYS</v>
      </c>
      <c r="K200" t="str">
        <f>CLEAN("MILWAUKEE                     ")</f>
        <v xml:space="preserve">MILWAUKEE                     </v>
      </c>
      <c r="L200" t="str">
        <f>CLEAN("IH 43 NORTH SOUTH FREEWAY          ")</f>
        <v xml:space="preserve">IH 43 NORTH SOUTH FREEWAY          </v>
      </c>
      <c r="M200" t="str">
        <f>CLEAN("BECHER I/C                         ")</f>
        <v xml:space="preserve">BECHER I/C                         </v>
      </c>
      <c r="N200">
        <v>0</v>
      </c>
      <c r="O200" t="str">
        <f t="shared" si="72"/>
        <v xml:space="preserve">          </v>
      </c>
      <c r="P200" t="str">
        <f>CLEAN("BACKBONE                                                                                            ")</f>
        <v xml:space="preserve">BACKBONE                                                                                            </v>
      </c>
    </row>
    <row r="201" spans="1:16" x14ac:dyDescent="0.25">
      <c r="A201" t="str">
        <f t="shared" si="82"/>
        <v>10</v>
      </c>
      <c r="B201" t="str">
        <f t="shared" si="86"/>
        <v>22</v>
      </c>
      <c r="C201" s="1">
        <v>45894</v>
      </c>
      <c r="D201" t="str">
        <f>CLEAN("1228-22-23")</f>
        <v>1228-22-23</v>
      </c>
      <c r="E201" t="str">
        <f t="shared" si="83"/>
        <v xml:space="preserve">303  </v>
      </c>
      <c r="F201" t="str">
        <f>CLEAN("$0 - $99,999             ")</f>
        <v xml:space="preserve">$0 - $99,999             </v>
      </c>
      <c r="G201" t="str">
        <f>CLEAN("R/E")</f>
        <v>R/E</v>
      </c>
      <c r="H201" t="str">
        <f>CLEAN("NONLET CONSTR/REAL ESTATE")</f>
        <v>NONLET CONSTR/REAL ESTATE</v>
      </c>
      <c r="I201" t="str">
        <f>CLEAN("RE/BRRHB                           ")</f>
        <v xml:space="preserve">RE/BRRHB                           </v>
      </c>
      <c r="J201" t="str">
        <f>CLEAN("IH  043")</f>
        <v>IH  043</v>
      </c>
      <c r="K201" t="str">
        <f>CLEAN("MILWAUKEE                     ")</f>
        <v xml:space="preserve">MILWAUKEE                     </v>
      </c>
      <c r="L201" t="str">
        <f>CLEAN("IH 43 NORTH SOUTH FREEWAY          ")</f>
        <v xml:space="preserve">IH 43 NORTH SOUTH FREEWAY          </v>
      </c>
      <c r="M201" t="str">
        <f>CLEAN("HALYARD ST TO CAPITOL DRIVE        ")</f>
        <v xml:space="preserve">HALYARD ST TO CAPITOL DRIVE        </v>
      </c>
      <c r="N201">
        <v>2.2410000000000001</v>
      </c>
      <c r="O201" t="str">
        <f t="shared" si="72"/>
        <v xml:space="preserve">          </v>
      </c>
      <c r="P201" t="str">
        <f>CLEAN("BACKBONE                                                                                            ")</f>
        <v xml:space="preserve">BACKBONE                                                                                            </v>
      </c>
    </row>
    <row r="202" spans="1:16" x14ac:dyDescent="0.25">
      <c r="A202" t="str">
        <f t="shared" si="82"/>
        <v>10</v>
      </c>
      <c r="B202" t="str">
        <f t="shared" si="86"/>
        <v>22</v>
      </c>
      <c r="C202" s="1">
        <v>45925</v>
      </c>
      <c r="D202" t="str">
        <f>CLEAN("1228-23-99")</f>
        <v>1228-23-99</v>
      </c>
      <c r="E202" t="str">
        <f t="shared" si="83"/>
        <v xml:space="preserve">303  </v>
      </c>
      <c r="F202" t="str">
        <f>CLEAN("$0 - $99,999             ")</f>
        <v xml:space="preserve">$0 - $99,999             </v>
      </c>
      <c r="G202" t="str">
        <f>CLEAN("MIS")</f>
        <v>MIS</v>
      </c>
      <c r="H202" t="str">
        <f>CLEAN("NONLET CONSTR/REAL ESTATE")</f>
        <v>NONLET CONSTR/REAL ESTATE</v>
      </c>
      <c r="I202" t="str">
        <f>CLEAN("TRAF MIT-C MIL DPW 1228-22-70      ")</f>
        <v xml:space="preserve">TRAF MIT-C MIL DPW 1228-22-70      </v>
      </c>
      <c r="J202" t="str">
        <f>CLEAN("IH  043")</f>
        <v>IH  043</v>
      </c>
      <c r="K202" t="str">
        <f>CLEAN("MILWAUKEE                     ")</f>
        <v xml:space="preserve">MILWAUKEE                     </v>
      </c>
      <c r="L202" t="str">
        <f>CLEAN("IH 43 NORTH SOUTH FREEWAY          ")</f>
        <v xml:space="preserve">IH 43 NORTH SOUTH FREEWAY          </v>
      </c>
      <c r="M202" t="str">
        <f>CLEAN("BROWN STREET TO CAPITOL DRIVE      ")</f>
        <v xml:space="preserve">BROWN STREET TO CAPITOL DRIVE      </v>
      </c>
      <c r="N202">
        <v>2.35</v>
      </c>
      <c r="O202" t="str">
        <f t="shared" si="72"/>
        <v xml:space="preserve">          </v>
      </c>
      <c r="P202" t="str">
        <f>CLEAN("BACKBONE                                                                                            ")</f>
        <v xml:space="preserve">BACKBONE                                                                                            </v>
      </c>
    </row>
    <row r="203" spans="1:16" x14ac:dyDescent="0.25">
      <c r="A203" t="str">
        <f t="shared" si="82"/>
        <v>10</v>
      </c>
      <c r="B203" t="str">
        <f t="shared" si="86"/>
        <v>22</v>
      </c>
      <c r="C203" s="1">
        <v>45894</v>
      </c>
      <c r="D203" t="str">
        <f>CLEAN("1229-04-85")</f>
        <v>1229-04-85</v>
      </c>
      <c r="E203" t="str">
        <f>CLEAN("305  ")</f>
        <v xml:space="preserve">305  </v>
      </c>
      <c r="F203" t="str">
        <f>CLEAN("$0 - $99,999             ")</f>
        <v xml:space="preserve">$0 - $99,999             </v>
      </c>
      <c r="G203" t="str">
        <f>CLEAN("CCO")</f>
        <v>CCO</v>
      </c>
      <c r="H203" t="str">
        <f>CLEAN("NONLET CONSTR/REAL ESTATE")</f>
        <v>NONLET CONSTR/REAL ESTATE</v>
      </c>
      <c r="I203" t="str">
        <f>CLEAN("CCO/1229-04-75/BEAMGUARD REPAIR    ")</f>
        <v xml:space="preserve">CCO/1229-04-75/BEAMGUARD REPAIR    </v>
      </c>
      <c r="J203" t="str">
        <f>CLEAN("IH  043")</f>
        <v>IH  043</v>
      </c>
      <c r="K203" t="str">
        <f>CLEAN("OZAUKEE                       ")</f>
        <v xml:space="preserve">OZAUKEE                       </v>
      </c>
      <c r="L203" t="str">
        <f>CLEAN("I-43 NORTH SOUTH FREEWAY           ")</f>
        <v xml:space="preserve">I-43 NORTH SOUTH FREEWAY           </v>
      </c>
      <c r="M203" t="str">
        <f>CLEAN("HIGHLAND RD IC                     ")</f>
        <v xml:space="preserve">HIGHLAND RD IC                     </v>
      </c>
      <c r="N203">
        <v>0</v>
      </c>
      <c r="O203" t="str">
        <f t="shared" si="72"/>
        <v xml:space="preserve">          </v>
      </c>
      <c r="P203" t="str">
        <f>CLEAN("STATE HIGHWAY OPERATIONS PROGRAM                                                                    ")</f>
        <v xml:space="preserve">STATE HIGHWAY OPERATIONS PROGRAM                                                                    </v>
      </c>
    </row>
    <row r="204" spans="1:16" x14ac:dyDescent="0.25">
      <c r="A204" t="str">
        <f t="shared" si="82"/>
        <v>10</v>
      </c>
      <c r="B204" t="str">
        <f t="shared" si="86"/>
        <v>22</v>
      </c>
      <c r="C204" s="1">
        <v>45925</v>
      </c>
      <c r="D204" t="str">
        <f>CLEAN("1320-13-22")</f>
        <v>1320-13-22</v>
      </c>
      <c r="E204" t="str">
        <f t="shared" ref="E204:E210" si="87">CLEAN("303  ")</f>
        <v xml:space="preserve">303  </v>
      </c>
      <c r="F204" t="str">
        <f>CLEAN("$0 - $99,999             ")</f>
        <v xml:space="preserve">$0 - $99,999             </v>
      </c>
      <c r="G204" t="str">
        <f>CLEAN("R/E")</f>
        <v>R/E</v>
      </c>
      <c r="H204" t="str">
        <f>CLEAN("NONLET CONSTR/REAL ESTATE")</f>
        <v>NONLET CONSTR/REAL ESTATE</v>
      </c>
      <c r="I204" t="str">
        <f>CLEAN("RE/PAVEMENT REPLACEMENT            ")</f>
        <v xml:space="preserve">RE/PAVEMENT REPLACEMENT            </v>
      </c>
      <c r="J204" t="str">
        <f>CLEAN("STH 011")</f>
        <v>STH 011</v>
      </c>
      <c r="K204" t="str">
        <f>CLEAN("RACINE                        ")</f>
        <v xml:space="preserve">RACINE                        </v>
      </c>
      <c r="L204" t="str">
        <f>CLEAN("BURLINGTON - RACINE                ")</f>
        <v xml:space="preserve">BURLINGTON - RACINE                </v>
      </c>
      <c r="M204" t="str">
        <f>CLEAN("CTH N TO CTH C                     ")</f>
        <v xml:space="preserve">CTH N TO CTH C                     </v>
      </c>
      <c r="N204">
        <v>2.6869999999999998</v>
      </c>
      <c r="O204" t="str">
        <f t="shared" si="72"/>
        <v xml:space="preserve">          </v>
      </c>
      <c r="P204" t="str">
        <f t="shared" ref="P204:P210" si="88"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205" spans="1:16" x14ac:dyDescent="0.25">
      <c r="A205" t="str">
        <f t="shared" si="82"/>
        <v>10</v>
      </c>
      <c r="B205" t="str">
        <f t="shared" si="86"/>
        <v>22</v>
      </c>
      <c r="C205" s="1">
        <v>45955</v>
      </c>
      <c r="D205" t="str">
        <f>CLEAN("1320-26-20")</f>
        <v>1320-26-20</v>
      </c>
      <c r="E205" t="str">
        <f t="shared" si="87"/>
        <v xml:space="preserve">303  </v>
      </c>
      <c r="F205" t="str">
        <f>CLEAN("$0 - $99,999             ")</f>
        <v xml:space="preserve">$0 - $99,999             </v>
      </c>
      <c r="G205" t="str">
        <f>CLEAN("R/E")</f>
        <v>R/E</v>
      </c>
      <c r="H205" t="str">
        <f>CLEAN("NONLET CONSTR/REAL ESTATE")</f>
        <v>NONLET CONSTR/REAL ESTATE</v>
      </c>
      <c r="I205" t="str">
        <f>CLEAN("RE/RESURFACE                       ")</f>
        <v xml:space="preserve">RE/RESURFACE                       </v>
      </c>
      <c r="J205" t="str">
        <f>CLEAN("STH 011")</f>
        <v>STH 011</v>
      </c>
      <c r="K205" t="str">
        <f>CLEAN("WALWORTH                      ")</f>
        <v xml:space="preserve">WALWORTH                      </v>
      </c>
      <c r="L205" t="str">
        <f>CLEAN("ELKHORN-BURLINGTON                 ")</f>
        <v xml:space="preserve">ELKHORN-BURLINGTON                 </v>
      </c>
      <c r="M205" t="str">
        <f>CLEAN("COBB RD TO STH 120                 ")</f>
        <v xml:space="preserve">COBB RD TO STH 120                 </v>
      </c>
      <c r="N205">
        <v>6.43</v>
      </c>
      <c r="O205" t="str">
        <f t="shared" si="72"/>
        <v xml:space="preserve">          </v>
      </c>
      <c r="P205" t="str">
        <f t="shared" si="88"/>
        <v xml:space="preserve">STATE 3R                                                                                            </v>
      </c>
    </row>
    <row r="206" spans="1:16" x14ac:dyDescent="0.25">
      <c r="A206" t="str">
        <f t="shared" si="82"/>
        <v>10</v>
      </c>
      <c r="B206" t="str">
        <f t="shared" si="86"/>
        <v>22</v>
      </c>
      <c r="C206" s="1">
        <v>45909</v>
      </c>
      <c r="D206" t="str">
        <f>CLEAN("1330-34-70")</f>
        <v>1330-34-70</v>
      </c>
      <c r="E206" t="str">
        <f t="shared" si="87"/>
        <v xml:space="preserve">303  </v>
      </c>
      <c r="F206" t="str">
        <f>CLEAN("$2,000,000 - $2,999,999  ")</f>
        <v xml:space="preserve">$2,000,000 - $2,999,999  </v>
      </c>
      <c r="G206" t="str">
        <f>CLEAN("LET")</f>
        <v>LET</v>
      </c>
      <c r="H206" t="str">
        <f>CLEAN("LET CONSTRUCTION         ")</f>
        <v xml:space="preserve">LET CONSTRUCTION         </v>
      </c>
      <c r="I206" t="str">
        <f>CLEAN("CONSTRUCTION/RSRF15                ")</f>
        <v xml:space="preserve">CONSTRUCTION/RSRF15                </v>
      </c>
      <c r="J206" t="str">
        <f>CLEAN("STH 083")</f>
        <v>STH 083</v>
      </c>
      <c r="K206" t="str">
        <f>CLEAN("WAUKESHA                      ")</f>
        <v xml:space="preserve">WAUKESHA                      </v>
      </c>
      <c r="L206" t="str">
        <f>CLEAN("WALES - HARTFORD                   ")</f>
        <v xml:space="preserve">WALES - HARTFORD                   </v>
      </c>
      <c r="M206" t="str">
        <f>CLEAN("PERKINS ROAD TO GLACIER PASS       ")</f>
        <v xml:space="preserve">PERKINS ROAD TO GLACIER PASS       </v>
      </c>
      <c r="N206">
        <v>3.1720000000000002</v>
      </c>
      <c r="O206" t="str">
        <f t="shared" si="72"/>
        <v xml:space="preserve">          </v>
      </c>
      <c r="P206" t="str">
        <f t="shared" si="88"/>
        <v xml:space="preserve">STATE 3R                                                                                            </v>
      </c>
    </row>
    <row r="207" spans="1:16" x14ac:dyDescent="0.25">
      <c r="A207" t="str">
        <f t="shared" si="82"/>
        <v>10</v>
      </c>
      <c r="B207" t="str">
        <f>CLEAN("21")</f>
        <v>21</v>
      </c>
      <c r="C207" s="1">
        <v>46091</v>
      </c>
      <c r="D207" t="str">
        <f>CLEAN("1370-00-75")</f>
        <v>1370-00-75</v>
      </c>
      <c r="E207" t="str">
        <f t="shared" si="87"/>
        <v xml:space="preserve">303  </v>
      </c>
      <c r="F207" t="str">
        <f>CLEAN("$2,000,000 - $2,999,999  ")</f>
        <v xml:space="preserve">$2,000,000 - $2,999,999  </v>
      </c>
      <c r="G207" t="str">
        <f>CLEAN("LET")</f>
        <v>LET</v>
      </c>
      <c r="H207" t="str">
        <f>CLEAN("LET CONSTRUCTION         ")</f>
        <v xml:space="preserve">LET CONSTRUCTION         </v>
      </c>
      <c r="I207" t="str">
        <f>CLEAN("CONST/ MILL AND OVERLAY            ")</f>
        <v xml:space="preserve">CONST/ MILL AND OVERLAY            </v>
      </c>
      <c r="J207" t="str">
        <f>CLEAN("STH 016")</f>
        <v>STH 016</v>
      </c>
      <c r="K207" t="str">
        <f>CLEAN("DODGE                         ")</f>
        <v xml:space="preserve">DODGE                         </v>
      </c>
      <c r="L207" t="str">
        <f>CLEAN("WATERTOWN - WAUKESHA               ")</f>
        <v xml:space="preserve">WATERTOWN - WAUKESHA               </v>
      </c>
      <c r="M207" t="str">
        <f>CLEAN("CTH L/ BUS 26 TO E MAIN STREET     ")</f>
        <v xml:space="preserve">CTH L/ BUS 26 TO E MAIN STREET     </v>
      </c>
      <c r="N207">
        <v>2.65</v>
      </c>
      <c r="O207" t="str">
        <f t="shared" si="72"/>
        <v xml:space="preserve">          </v>
      </c>
      <c r="P207" t="str">
        <f t="shared" si="88"/>
        <v xml:space="preserve">STATE 3R                                                                                            </v>
      </c>
    </row>
    <row r="208" spans="1:16" x14ac:dyDescent="0.25">
      <c r="A208" t="str">
        <f t="shared" si="82"/>
        <v>10</v>
      </c>
      <c r="B208" t="str">
        <f>CLEAN("21")</f>
        <v>21</v>
      </c>
      <c r="C208" s="1">
        <v>46137</v>
      </c>
      <c r="D208" t="str">
        <f>CLEAN("1390-06-24")</f>
        <v>1390-06-24</v>
      </c>
      <c r="E208" t="str">
        <f t="shared" si="87"/>
        <v xml:space="preserve">303  </v>
      </c>
      <c r="F208" t="str">
        <f>CLEAN("$100,000-$249,999        ")</f>
        <v xml:space="preserve">$100,000-$249,999        </v>
      </c>
      <c r="G208" t="str">
        <f>CLEAN("R/E")</f>
        <v>R/E</v>
      </c>
      <c r="H208" t="str">
        <f>CLEAN("NONLET CONSTR/REAL ESTATE")</f>
        <v>NONLET CONSTR/REAL ESTATE</v>
      </c>
      <c r="I208" t="str">
        <f>CLEAN("REAL ESTATE/ RECST                 ")</f>
        <v xml:space="preserve">REAL ESTATE/ RECST                 </v>
      </c>
      <c r="J208" t="str">
        <f>CLEAN("STH 026")</f>
        <v>STH 026</v>
      </c>
      <c r="K208" t="str">
        <f>CLEAN("DODGE                         ")</f>
        <v xml:space="preserve">DODGE                         </v>
      </c>
      <c r="L208" t="str">
        <f>CLEAN("WATERTOWN - WAUPUN                 ")</f>
        <v xml:space="preserve">WATERTOWN - WAUPUN                 </v>
      </c>
      <c r="M208" t="str">
        <f>CLEAN("STH 33 TO 0.2 MI S OF MILLIGAN RD  ")</f>
        <v xml:space="preserve">STH 33 TO 0.2 MI S OF MILLIGAN RD  </v>
      </c>
      <c r="N208">
        <v>10.801</v>
      </c>
      <c r="O208" t="str">
        <f t="shared" si="72"/>
        <v xml:space="preserve">          </v>
      </c>
      <c r="P208" t="str">
        <f t="shared" si="88"/>
        <v xml:space="preserve">STATE 3R                                                                                            </v>
      </c>
    </row>
    <row r="209" spans="1:16" x14ac:dyDescent="0.25">
      <c r="A209" t="str">
        <f t="shared" si="82"/>
        <v>10</v>
      </c>
      <c r="B209" t="str">
        <f>CLEAN("22")</f>
        <v>22</v>
      </c>
      <c r="C209" s="1">
        <v>45925</v>
      </c>
      <c r="D209" t="str">
        <f>CLEAN("1410-15-20")</f>
        <v>1410-15-20</v>
      </c>
      <c r="E209" t="str">
        <f t="shared" si="87"/>
        <v xml:space="preserve">303  </v>
      </c>
      <c r="F209" t="str">
        <f>CLEAN("$0 - $99,999             ")</f>
        <v xml:space="preserve">$0 - $99,999             </v>
      </c>
      <c r="G209" t="str">
        <f>CLEAN("R/E")</f>
        <v>R/E</v>
      </c>
      <c r="H209" t="str">
        <f>CLEAN("NONLET CONSTR/REAL ESTATE")</f>
        <v>NONLET CONSTR/REAL ESTATE</v>
      </c>
      <c r="I209" t="str">
        <f>CLEAN("RE/RSRF30                          ")</f>
        <v xml:space="preserve">RE/RSRF30                          </v>
      </c>
      <c r="J209" t="str">
        <f>CLEAN("STH 033")</f>
        <v>STH 033</v>
      </c>
      <c r="K209" t="str">
        <f>CLEAN("WASHINGTON                    ")</f>
        <v xml:space="preserve">WASHINGTON                    </v>
      </c>
      <c r="L209" t="str">
        <f>CLEAN("HORICON-WEST BEND                  ")</f>
        <v xml:space="preserve">HORICON-WEST BEND                  </v>
      </c>
      <c r="M209" t="str">
        <f>CLEAN("W WASHINGTON CO LN-E BR ROCK RIVER ")</f>
        <v xml:space="preserve">W WASHINGTON CO LN-E BR ROCK RIVER </v>
      </c>
      <c r="N209">
        <v>2.802</v>
      </c>
      <c r="O209" t="str">
        <f t="shared" si="72"/>
        <v xml:space="preserve">          </v>
      </c>
      <c r="P209" t="str">
        <f t="shared" si="88"/>
        <v xml:space="preserve">STATE 3R                                                                                            </v>
      </c>
    </row>
    <row r="210" spans="1:16" x14ac:dyDescent="0.25">
      <c r="A210" t="str">
        <f t="shared" si="82"/>
        <v>10</v>
      </c>
      <c r="B210" t="str">
        <f>CLEAN("22")</f>
        <v>22</v>
      </c>
      <c r="C210" s="1">
        <v>45909</v>
      </c>
      <c r="D210" t="str">
        <f>CLEAN("1410-16-71")</f>
        <v>1410-16-71</v>
      </c>
      <c r="E210" t="str">
        <f t="shared" si="87"/>
        <v xml:space="preserve">303  </v>
      </c>
      <c r="F210" t="str">
        <f>CLEAN("$1,000,000 - $1,999,999  ")</f>
        <v xml:space="preserve">$1,000,000 - $1,999,999  </v>
      </c>
      <c r="G210" t="str">
        <f>CLEAN("LET")</f>
        <v>LET</v>
      </c>
      <c r="H210" t="str">
        <f>CLEAN("LET CONSTRUCTION         ")</f>
        <v xml:space="preserve">LET CONSTRUCTION         </v>
      </c>
      <c r="I210" t="str">
        <f>CLEAN("CONST/MISC                         ")</f>
        <v xml:space="preserve">CONST/MISC                         </v>
      </c>
      <c r="J210" t="str">
        <f>CLEAN("STH 033")</f>
        <v>STH 033</v>
      </c>
      <c r="K210" t="str">
        <f>CLEAN("OZAUKEE                       ")</f>
        <v xml:space="preserve">OZAUKEE                       </v>
      </c>
      <c r="L210" t="str">
        <f>CLEAN("NEWBURG - SAUKVILLE                ")</f>
        <v xml:space="preserve">NEWBURG - SAUKVILLE                </v>
      </c>
      <c r="M210" t="str">
        <f>CLEAN("0.6 MILES WEST OF CTH I            ")</f>
        <v xml:space="preserve">0.6 MILES WEST OF CTH I            </v>
      </c>
      <c r="N210">
        <v>0.16600000000000001</v>
      </c>
      <c r="O210" t="str">
        <f t="shared" si="72"/>
        <v xml:space="preserve">          </v>
      </c>
      <c r="P210" t="str">
        <f t="shared" si="88"/>
        <v xml:space="preserve">STATE 3R                                                                                            </v>
      </c>
    </row>
    <row r="211" spans="1:16" x14ac:dyDescent="0.25">
      <c r="A211" t="str">
        <f t="shared" si="82"/>
        <v>10</v>
      </c>
      <c r="B211" t="str">
        <f>CLEAN("21")</f>
        <v>21</v>
      </c>
      <c r="C211" s="1">
        <v>46106</v>
      </c>
      <c r="D211" t="str">
        <f>CLEAN("1411-00-71")</f>
        <v>1411-00-71</v>
      </c>
      <c r="E211" t="str">
        <f>CLEAN("290  ")</f>
        <v xml:space="preserve">290  </v>
      </c>
      <c r="F211" t="str">
        <f>CLEAN("$1,000,000 - $1,999,999  ")</f>
        <v xml:space="preserve">$1,000,000 - $1,999,999  </v>
      </c>
      <c r="G211" t="str">
        <f>CLEAN("LLC")</f>
        <v>LLC</v>
      </c>
      <c r="H211" t="str">
        <f>CLEAN("NONLET CONSTR/REAL ESTATE")</f>
        <v>NONLET CONSTR/REAL ESTATE</v>
      </c>
      <c r="I211" t="str">
        <f>CLEAN("PEDESTRIAN/BICYCLE MULTI-USE TRAIL ")</f>
        <v xml:space="preserve">PEDESTRIAN/BICYCLE MULTI-USE TRAIL </v>
      </c>
      <c r="J211" t="str">
        <f>CLEAN("NON HWY")</f>
        <v>NON HWY</v>
      </c>
      <c r="K211" t="str">
        <f>CLEAN("DODGE                         ")</f>
        <v xml:space="preserve">DODGE                         </v>
      </c>
      <c r="L211" t="str">
        <f>CLEAN("STH 33 - GOLD STAR MEMORIAL TRAIL  ")</f>
        <v xml:space="preserve">STH 33 - GOLD STAR MEMORIAL TRAIL  </v>
      </c>
      <c r="M211" t="str">
        <f>CLEAN("WILD GOOSE ST TRAIL TO CITY HORICON")</f>
        <v>WILD GOOSE ST TRAIL TO CITY HORICON</v>
      </c>
      <c r="N211">
        <v>0.35</v>
      </c>
      <c r="O211" t="str">
        <f t="shared" si="72"/>
        <v xml:space="preserve">          </v>
      </c>
      <c r="P211" t="str">
        <f>CLEAN("TAP &lt; 5,000                                                                                         ")</f>
        <v xml:space="preserve">TAP &lt; 5,000                                                                                         </v>
      </c>
    </row>
    <row r="212" spans="1:16" x14ac:dyDescent="0.25">
      <c r="A212" t="str">
        <f t="shared" si="82"/>
        <v>10</v>
      </c>
      <c r="B212" t="str">
        <f>CLEAN("21")</f>
        <v>21</v>
      </c>
      <c r="C212" s="1">
        <v>46228</v>
      </c>
      <c r="D212" t="str">
        <f>CLEAN("1411-02-22")</f>
        <v>1411-02-22</v>
      </c>
      <c r="E212" t="str">
        <f t="shared" ref="E212:E243" si="89">CLEAN("303  ")</f>
        <v xml:space="preserve">303  </v>
      </c>
      <c r="F212" t="str">
        <f>CLEAN("$100,000-$249,999        ")</f>
        <v xml:space="preserve">$100,000-$249,999        </v>
      </c>
      <c r="G212" t="str">
        <f>CLEAN("R/E")</f>
        <v>R/E</v>
      </c>
      <c r="H212" t="str">
        <f>CLEAN("NONLET CONSTR/REAL ESTATE")</f>
        <v>NONLET CONSTR/REAL ESTATE</v>
      </c>
      <c r="I212" t="str">
        <f>CLEAN("RIGHT-OF-WAY DESIGN-RAB/RECST      ")</f>
        <v xml:space="preserve">RIGHT-OF-WAY DESIGN-RAB/RECST      </v>
      </c>
      <c r="J212" t="str">
        <f>CLEAN("STH 033")</f>
        <v>STH 033</v>
      </c>
      <c r="K212" t="str">
        <f>CLEAN("DODGE                         ")</f>
        <v xml:space="preserve">DODGE                         </v>
      </c>
      <c r="L212" t="str">
        <f>CLEAN("HORICON - WEST BEND                ")</f>
        <v xml:space="preserve">HORICON - WEST BEND                </v>
      </c>
      <c r="M212" t="str">
        <f>CLEAN("CTH TW INTERSECTION                ")</f>
        <v xml:space="preserve">CTH TW INTERSECTION                </v>
      </c>
      <c r="N212">
        <v>0.26</v>
      </c>
      <c r="O212" t="str">
        <f t="shared" si="72"/>
        <v xml:space="preserve">          </v>
      </c>
      <c r="P212" t="str">
        <f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213" spans="1:16" x14ac:dyDescent="0.25">
      <c r="A213" t="str">
        <f t="shared" si="82"/>
        <v>10</v>
      </c>
      <c r="B213" t="str">
        <f>CLEAN("24")</f>
        <v>24</v>
      </c>
      <c r="C213" s="1">
        <v>45881</v>
      </c>
      <c r="D213" t="str">
        <f>CLEAN("1430-08-82")</f>
        <v>1430-08-82</v>
      </c>
      <c r="E213" t="str">
        <f t="shared" si="89"/>
        <v xml:space="preserve">303  </v>
      </c>
      <c r="F213" t="str">
        <f>CLEAN("$2,000,000 - $2,999,999  ")</f>
        <v xml:space="preserve">$2,000,000 - $2,999,999  </v>
      </c>
      <c r="G213" t="str">
        <f>CLEAN("LET")</f>
        <v>LET</v>
      </c>
      <c r="H213" t="str">
        <f>CLEAN("LET CONSTRUCTION         ")</f>
        <v xml:space="preserve">LET CONSTRUCTION         </v>
      </c>
      <c r="I213" t="str">
        <f>CLEAN("CONST/RESURFACE                    ")</f>
        <v xml:space="preserve">CONST/RESURFACE                    </v>
      </c>
      <c r="J213" t="str">
        <f>CLEAN("STH 023")</f>
        <v>STH 023</v>
      </c>
      <c r="K213" t="str">
        <f>CLEAN("GREEN LAKE                    ")</f>
        <v xml:space="preserve">GREEN LAKE                    </v>
      </c>
      <c r="L213" t="str">
        <f>CLEAN("PRINCETON - RIPON                  ")</f>
        <v xml:space="preserve">PRINCETON - RIPON                  </v>
      </c>
      <c r="M213" t="str">
        <f>CLEAN("CTH A TO FOND DU LAC COUNTY LINE   ")</f>
        <v xml:space="preserve">CTH A TO FOND DU LAC COUNTY LINE   </v>
      </c>
      <c r="N213">
        <v>4.5999999999999996</v>
      </c>
      <c r="O213" t="str">
        <f t="shared" si="72"/>
        <v xml:space="preserve">          </v>
      </c>
      <c r="P213" t="str">
        <f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214" spans="1:16" x14ac:dyDescent="0.25">
      <c r="A214" t="str">
        <f t="shared" si="82"/>
        <v>10</v>
      </c>
      <c r="B214" t="str">
        <f>CLEAN("22")</f>
        <v>22</v>
      </c>
      <c r="C214" s="1">
        <v>45881</v>
      </c>
      <c r="D214" t="str">
        <f>CLEAN("1450-05-73")</f>
        <v>1450-05-73</v>
      </c>
      <c r="E214" t="str">
        <f t="shared" si="89"/>
        <v xml:space="preserve">303  </v>
      </c>
      <c r="F214" t="str">
        <f>CLEAN("$100,000-$249,999        ")</f>
        <v xml:space="preserve">$100,000-$249,999        </v>
      </c>
      <c r="G214" t="str">
        <f>CLEAN("LET")</f>
        <v>LET</v>
      </c>
      <c r="H214" t="str">
        <f>CLEAN("LET CONSTRUCTION         ")</f>
        <v xml:space="preserve">LET CONSTRUCTION         </v>
      </c>
      <c r="I214" t="str">
        <f>CLEAN("CONST/BRRHB                        ")</f>
        <v xml:space="preserve">CONST/BRRHB                        </v>
      </c>
      <c r="J214" t="str">
        <f>CLEAN("IH  043")</f>
        <v>IH  043</v>
      </c>
      <c r="K214" t="str">
        <f>CLEAN("OZAUKEE                       ")</f>
        <v xml:space="preserve">OZAUKEE                       </v>
      </c>
      <c r="L214" t="str">
        <f>CLEAN("IH43 NORTH SOUTH FREEWAY           ")</f>
        <v xml:space="preserve">IH43 NORTH SOUTH FREEWAY           </v>
      </c>
      <c r="M214" t="str">
        <f>CLEAN("BRIDGE OVER CTH LL B45-0048        ")</f>
        <v xml:space="preserve">BRIDGE OVER CTH LL B45-0048        </v>
      </c>
      <c r="N214">
        <v>0.06</v>
      </c>
      <c r="O214" t="str">
        <f t="shared" si="72"/>
        <v xml:space="preserve">          </v>
      </c>
      <c r="P214" t="str">
        <f>CLEAN("BACKBONE                                                                                            ")</f>
        <v xml:space="preserve">BACKBONE                                                                                            </v>
      </c>
    </row>
    <row r="215" spans="1:16" x14ac:dyDescent="0.25">
      <c r="A215" t="str">
        <f t="shared" si="82"/>
        <v>10</v>
      </c>
      <c r="B215" t="str">
        <f>CLEAN("23")</f>
        <v>23</v>
      </c>
      <c r="C215" s="1">
        <v>46091</v>
      </c>
      <c r="D215" t="str">
        <f>CLEAN("1500-49-60")</f>
        <v>1500-49-60</v>
      </c>
      <c r="E215" t="str">
        <f t="shared" si="89"/>
        <v xml:space="preserve">303  </v>
      </c>
      <c r="F215" t="str">
        <f>CLEAN("$1,000,000 - $1,999,999  ")</f>
        <v xml:space="preserve">$1,000,000 - $1,999,999  </v>
      </c>
      <c r="G215" t="str">
        <f>CLEAN("LET")</f>
        <v>LET</v>
      </c>
      <c r="H215" t="str">
        <f>CLEAN("LET CONSTRUCTION         ")</f>
        <v xml:space="preserve">LET CONSTRUCTION         </v>
      </c>
      <c r="I215" t="str">
        <f>CLEAN("CONST OPS/PSRS20                   ")</f>
        <v xml:space="preserve">CONST OPS/PSRS20                   </v>
      </c>
      <c r="J215" t="str">
        <f t="shared" ref="J215:J220" si="90">CLEAN("USH 010")</f>
        <v>USH 010</v>
      </c>
      <c r="K215" t="str">
        <f>CLEAN("CALUMET                       ")</f>
        <v xml:space="preserve">CALUMET                       </v>
      </c>
      <c r="L215" t="str">
        <f>CLEAN("MENASHA - HARRISON                 ")</f>
        <v xml:space="preserve">MENASHA - HARRISON                 </v>
      </c>
      <c r="M215" t="str">
        <f>CLEAN("STH 114 - FIRE LANE 7              ")</f>
        <v xml:space="preserve">STH 114 - FIRE LANE 7              </v>
      </c>
      <c r="N215">
        <v>4.21</v>
      </c>
      <c r="O215" t="str">
        <f>CLEAN("1500-49-61")</f>
        <v>1500-49-61</v>
      </c>
      <c r="P215" t="str">
        <f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216" spans="1:16" x14ac:dyDescent="0.25">
      <c r="A216" t="str">
        <f t="shared" si="82"/>
        <v>10</v>
      </c>
      <c r="B216" t="str">
        <f>CLEAN("23")</f>
        <v>23</v>
      </c>
      <c r="C216" s="1">
        <v>46091</v>
      </c>
      <c r="D216" t="str">
        <f>CLEAN("1500-49-61")</f>
        <v>1500-49-61</v>
      </c>
      <c r="E216" t="str">
        <f t="shared" si="89"/>
        <v xml:space="preserve">303  </v>
      </c>
      <c r="F216" t="str">
        <f>CLEAN("$2,000,000 - $2,999,999  ")</f>
        <v xml:space="preserve">$2,000,000 - $2,999,999  </v>
      </c>
      <c r="G216" t="str">
        <f>CLEAN("LET")</f>
        <v>LET</v>
      </c>
      <c r="H216" t="str">
        <f>CLEAN("LET CONSTRUCTION         ")</f>
        <v xml:space="preserve">LET CONSTRUCTION         </v>
      </c>
      <c r="I216" t="str">
        <f>CLEAN("CONST OPS/PSRS40                   ")</f>
        <v xml:space="preserve">CONST OPS/PSRS40                   </v>
      </c>
      <c r="J216" t="str">
        <f t="shared" si="90"/>
        <v>USH 010</v>
      </c>
      <c r="K216" t="str">
        <f>CLEAN("CALUMET                       ")</f>
        <v xml:space="preserve">CALUMET                       </v>
      </c>
      <c r="L216" t="str">
        <f>CLEAN("HARRISON - FOREST JUNCTION         ")</f>
        <v xml:space="preserve">HARRISON - FOREST JUNCTION         </v>
      </c>
      <c r="M216" t="str">
        <f>CLEAN("FIRE LANE 7 - CTH N                ")</f>
        <v xml:space="preserve">FIRE LANE 7 - CTH N                </v>
      </c>
      <c r="N216">
        <v>2.3079999999999998</v>
      </c>
      <c r="O216" t="str">
        <f>CLEAN("1500-49-60")</f>
        <v>1500-49-60</v>
      </c>
      <c r="P216" t="str">
        <f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217" spans="1:16" x14ac:dyDescent="0.25">
      <c r="A217" t="str">
        <f t="shared" si="82"/>
        <v>10</v>
      </c>
      <c r="B217" t="str">
        <f>CLEAN("23")</f>
        <v>23</v>
      </c>
      <c r="C217" s="1">
        <v>46016</v>
      </c>
      <c r="D217" t="str">
        <f>CLEAN("1500-68-40")</f>
        <v>1500-68-40</v>
      </c>
      <c r="E217" t="str">
        <f t="shared" si="89"/>
        <v xml:space="preserve">303  </v>
      </c>
      <c r="F217" t="str">
        <f>CLEAN("$0 - $99,999             ")</f>
        <v xml:space="preserve">$0 - $99,999             </v>
      </c>
      <c r="G217" t="str">
        <f>CLEAN("UTL")</f>
        <v>UTL</v>
      </c>
      <c r="H217" t="str">
        <f>CLEAN("NONLET CONSTR/REAL ESTATE")</f>
        <v>NONLET CONSTR/REAL ESTATE</v>
      </c>
      <c r="I217" t="str">
        <f>CLEAN("UTL RELOCATION                     ")</f>
        <v xml:space="preserve">UTL RELOCATION                     </v>
      </c>
      <c r="J217" t="str">
        <f t="shared" si="90"/>
        <v>USH 010</v>
      </c>
      <c r="K217" t="str">
        <f>CLEAN("MANITOWOC                     ")</f>
        <v xml:space="preserve">MANITOWOC                     </v>
      </c>
      <c r="L217" t="str">
        <f>CLEAN("BRILLION-REEDSVILLE                ")</f>
        <v xml:space="preserve">BRILLION-REEDSVILLE                </v>
      </c>
      <c r="M217" t="str">
        <f>CLEAN("BRILLION ECPL-CTH W                ")</f>
        <v xml:space="preserve">BRILLION ECPL-CTH W                </v>
      </c>
      <c r="N217">
        <v>5.0439999999999996</v>
      </c>
      <c r="O217" t="str">
        <f>CLEAN("          ")</f>
        <v xml:space="preserve">          </v>
      </c>
      <c r="P217" t="str">
        <f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218" spans="1:16" x14ac:dyDescent="0.25">
      <c r="A218" t="str">
        <f t="shared" si="82"/>
        <v>10</v>
      </c>
      <c r="B218" t="str">
        <f t="shared" ref="B218:B226" si="91">CLEAN("24")</f>
        <v>24</v>
      </c>
      <c r="C218" s="1">
        <v>46000</v>
      </c>
      <c r="D218" t="str">
        <f>CLEAN("1510-01-61")</f>
        <v>1510-01-61</v>
      </c>
      <c r="E218" t="str">
        <f t="shared" si="89"/>
        <v xml:space="preserve">303  </v>
      </c>
      <c r="F218" t="str">
        <f>CLEAN("$4,000,000 - $4,999,999  ")</f>
        <v xml:space="preserve">$4,000,000 - $4,999,999  </v>
      </c>
      <c r="G218" t="str">
        <f>CLEAN("LET")</f>
        <v>LET</v>
      </c>
      <c r="H218" t="str">
        <f>CLEAN("LET CONSTRUCTION         ")</f>
        <v xml:space="preserve">LET CONSTRUCTION         </v>
      </c>
      <c r="I218" t="str">
        <f>CLEAN("CONST/PREV MAINTENANCE             ")</f>
        <v xml:space="preserve">CONST/PREV MAINTENANCE             </v>
      </c>
      <c r="J218" t="str">
        <f t="shared" si="90"/>
        <v>USH 010</v>
      </c>
      <c r="K218" t="str">
        <f>CLEAN("WAUPACA                       ")</f>
        <v xml:space="preserve">WAUPACA                       </v>
      </c>
      <c r="L218" t="str">
        <f>CLEAN("STEVENS POINT - WAUPACA            ")</f>
        <v xml:space="preserve">STEVENS POINT - WAUPACA            </v>
      </c>
      <c r="M218" t="str">
        <f>CLEAN("ANDERSON ROAD TO APPLETREE LANE WB ")</f>
        <v xml:space="preserve">ANDERSON ROAD TO APPLETREE LANE WB </v>
      </c>
      <c r="N218">
        <v>4.95</v>
      </c>
      <c r="O218" t="str">
        <f>CLEAN("          ")</f>
        <v xml:space="preserve">          </v>
      </c>
      <c r="P218" t="str">
        <f>CLEAN("BACKBONE                                                                                            ")</f>
        <v xml:space="preserve">BACKBONE                                                                                            </v>
      </c>
    </row>
    <row r="219" spans="1:16" x14ac:dyDescent="0.25">
      <c r="A219" t="str">
        <f t="shared" si="82"/>
        <v>10</v>
      </c>
      <c r="B219" t="str">
        <f t="shared" si="91"/>
        <v>24</v>
      </c>
      <c r="C219" s="1">
        <v>46000</v>
      </c>
      <c r="D219" t="str">
        <f>CLEAN("1510-02-62")</f>
        <v>1510-02-62</v>
      </c>
      <c r="E219" t="str">
        <f t="shared" si="89"/>
        <v xml:space="preserve">303  </v>
      </c>
      <c r="F219" t="str">
        <f>CLEAN("$3,000,000 - $3,999,999  ")</f>
        <v xml:space="preserve">$3,000,000 - $3,999,999  </v>
      </c>
      <c r="G219" t="str">
        <f>CLEAN("LET")</f>
        <v>LET</v>
      </c>
      <c r="H219" t="str">
        <f>CLEAN("LET CONSTRUCTION         ")</f>
        <v xml:space="preserve">LET CONSTRUCTION         </v>
      </c>
      <c r="I219" t="str">
        <f>CLEAN("CONST/PREV MAINTENANCE             ")</f>
        <v xml:space="preserve">CONST/PREV MAINTENANCE             </v>
      </c>
      <c r="J219" t="str">
        <f t="shared" si="90"/>
        <v>USH 010</v>
      </c>
      <c r="K219" t="str">
        <f>CLEAN("WAUPACA                       ")</f>
        <v xml:space="preserve">WAUPACA                       </v>
      </c>
      <c r="L219" t="str">
        <f>CLEAN("WAUPACA - APPLETON                 ")</f>
        <v xml:space="preserve">WAUPACA - APPLETON                 </v>
      </c>
      <c r="M219" t="str">
        <f>CLEAN("OLD STH 49 TO WINNEBAGO CO LINE WB ")</f>
        <v xml:space="preserve">OLD STH 49 TO WINNEBAGO CO LINE WB </v>
      </c>
      <c r="N219">
        <v>6.89</v>
      </c>
      <c r="O219" t="str">
        <f>CLEAN("          ")</f>
        <v xml:space="preserve">          </v>
      </c>
      <c r="P219" t="str">
        <f>CLEAN("BACKBONE                                                                                            ")</f>
        <v xml:space="preserve">BACKBONE                                                                                            </v>
      </c>
    </row>
    <row r="220" spans="1:16" x14ac:dyDescent="0.25">
      <c r="A220" t="str">
        <f t="shared" si="82"/>
        <v>10</v>
      </c>
      <c r="B220" t="str">
        <f t="shared" si="91"/>
        <v>24</v>
      </c>
      <c r="C220" s="1">
        <v>46000</v>
      </c>
      <c r="D220" t="str">
        <f>CLEAN("1510-02-62")</f>
        <v>1510-02-62</v>
      </c>
      <c r="E220" t="str">
        <f t="shared" si="89"/>
        <v xml:space="preserve">303  </v>
      </c>
      <c r="F220" t="str">
        <f>CLEAN("$3,000,000 - $3,999,999  ")</f>
        <v xml:space="preserve">$3,000,000 - $3,999,999  </v>
      </c>
      <c r="G220" t="str">
        <f>CLEAN("LET")</f>
        <v>LET</v>
      </c>
      <c r="H220" t="str">
        <f>CLEAN("LET CONSTRUCTION         ")</f>
        <v xml:space="preserve">LET CONSTRUCTION         </v>
      </c>
      <c r="I220" t="str">
        <f>CLEAN("CONST/PREV MAINTENANCE             ")</f>
        <v xml:space="preserve">CONST/PREV MAINTENANCE             </v>
      </c>
      <c r="J220" t="str">
        <f t="shared" si="90"/>
        <v>USH 010</v>
      </c>
      <c r="K220" t="str">
        <f>CLEAN("WAUPACA                       ")</f>
        <v xml:space="preserve">WAUPACA                       </v>
      </c>
      <c r="L220" t="str">
        <f>CLEAN("WAUPACA - APPLETON                 ")</f>
        <v xml:space="preserve">WAUPACA - APPLETON                 </v>
      </c>
      <c r="M220" t="str">
        <f>CLEAN("OLD STH 49 TO WINNEBAGO CO LINE WB ")</f>
        <v xml:space="preserve">OLD STH 49 TO WINNEBAGO CO LINE WB </v>
      </c>
      <c r="N220">
        <v>6.89</v>
      </c>
      <c r="O220" t="str">
        <f>CLEAN("          ")</f>
        <v xml:space="preserve">          </v>
      </c>
      <c r="P220" t="str">
        <f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221" spans="1:16" x14ac:dyDescent="0.25">
      <c r="A221" t="str">
        <f t="shared" si="82"/>
        <v>10</v>
      </c>
      <c r="B221" t="str">
        <f t="shared" si="91"/>
        <v>24</v>
      </c>
      <c r="C221" s="1">
        <v>46091</v>
      </c>
      <c r="D221" t="str">
        <f>CLEAN("1520-00-74")</f>
        <v>1520-00-74</v>
      </c>
      <c r="E221" t="str">
        <f t="shared" si="89"/>
        <v xml:space="preserve">303  </v>
      </c>
      <c r="F221" t="str">
        <f>CLEAN("$2,000,000 - $2,999,999  ")</f>
        <v xml:space="preserve">$2,000,000 - $2,999,999  </v>
      </c>
      <c r="G221" t="str">
        <f>CLEAN("LET")</f>
        <v>LET</v>
      </c>
      <c r="H221" t="str">
        <f>CLEAN("LET CONSTRUCTION         ")</f>
        <v xml:space="preserve">LET CONSTRUCTION         </v>
      </c>
      <c r="I221" t="str">
        <f>CLEAN("CONSTR/PVRPLA/HSIP                 ")</f>
        <v xml:space="preserve">CONSTR/PVRPLA/HSIP                 </v>
      </c>
      <c r="J221" t="str">
        <f>CLEAN("STH 073")</f>
        <v>STH 073</v>
      </c>
      <c r="K221" t="str">
        <f>CLEAN("WOOD                          ")</f>
        <v xml:space="preserve">WOOD                          </v>
      </c>
      <c r="L221" t="str">
        <f>CLEAN("C OF PITTSVILLE                    ")</f>
        <v xml:space="preserve">C OF PITTSVILLE                    </v>
      </c>
      <c r="M221" t="str">
        <f>CLEAN("STH 73 AND STH 80 INTERSECTION     ")</f>
        <v xml:space="preserve">STH 73 AND STH 80 INTERSECTION     </v>
      </c>
      <c r="N221">
        <v>5.6000000000000001E-2</v>
      </c>
      <c r="O221" t="str">
        <f>CLEAN("1620-02-77")</f>
        <v>1620-02-77</v>
      </c>
      <c r="P221" t="str">
        <f>CLEAN("SAFETY (REGULAR HSIP)                                                                               ")</f>
        <v xml:space="preserve">SAFETY (REGULAR HSIP)                                                                               </v>
      </c>
    </row>
    <row r="222" spans="1:16" x14ac:dyDescent="0.25">
      <c r="A222" t="str">
        <f t="shared" si="82"/>
        <v>10</v>
      </c>
      <c r="B222" t="str">
        <f t="shared" si="91"/>
        <v>24</v>
      </c>
      <c r="C222" s="1">
        <v>46091</v>
      </c>
      <c r="D222" t="str">
        <f>CLEAN("1520-00-74")</f>
        <v>1520-00-74</v>
      </c>
      <c r="E222" t="str">
        <f t="shared" si="89"/>
        <v xml:space="preserve">303  </v>
      </c>
      <c r="F222" t="str">
        <f>CLEAN("$2,000,000 - $2,999,999  ")</f>
        <v xml:space="preserve">$2,000,000 - $2,999,999  </v>
      </c>
      <c r="G222" t="str">
        <f>CLEAN("LET")</f>
        <v>LET</v>
      </c>
      <c r="H222" t="str">
        <f>CLEAN("LET CONSTRUCTION         ")</f>
        <v xml:space="preserve">LET CONSTRUCTION         </v>
      </c>
      <c r="I222" t="str">
        <f>CLEAN("CONSTR/PVRPLA/HSIP                 ")</f>
        <v xml:space="preserve">CONSTR/PVRPLA/HSIP                 </v>
      </c>
      <c r="J222" t="str">
        <f>CLEAN("STH 073")</f>
        <v>STH 073</v>
      </c>
      <c r="K222" t="str">
        <f>CLEAN("WOOD                          ")</f>
        <v xml:space="preserve">WOOD                          </v>
      </c>
      <c r="L222" t="str">
        <f>CLEAN("C OF PITTSVILLE                    ")</f>
        <v xml:space="preserve">C OF PITTSVILLE                    </v>
      </c>
      <c r="M222" t="str">
        <f>CLEAN("STH 73 AND STH 80 INTERSECTION     ")</f>
        <v xml:space="preserve">STH 73 AND STH 80 INTERSECTION     </v>
      </c>
      <c r="N222">
        <v>5.6000000000000001E-2</v>
      </c>
      <c r="O222" t="str">
        <f>CLEAN("1620-02-77")</f>
        <v>1620-02-77</v>
      </c>
      <c r="P222" t="str">
        <f t="shared" ref="P222:P227" si="92"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223" spans="1:16" x14ac:dyDescent="0.25">
      <c r="A223" t="str">
        <f t="shared" si="82"/>
        <v>10</v>
      </c>
      <c r="B223" t="str">
        <f t="shared" si="91"/>
        <v>24</v>
      </c>
      <c r="C223" s="1">
        <v>45986</v>
      </c>
      <c r="D223" t="str">
        <f>CLEAN("1520-01-51")</f>
        <v>1520-01-51</v>
      </c>
      <c r="E223" t="str">
        <f t="shared" si="89"/>
        <v xml:space="preserve">303  </v>
      </c>
      <c r="F223" t="str">
        <f>CLEAN("$250,000 - $499,999      ")</f>
        <v xml:space="preserve">$250,000 - $499,999      </v>
      </c>
      <c r="G223" t="str">
        <f>CLEAN("R/R")</f>
        <v>R/R</v>
      </c>
      <c r="H223" t="str">
        <f>CLEAN("NONLET CONSTR/REAL ESTATE")</f>
        <v>NONLET CONSTR/REAL ESTATE</v>
      </c>
      <c r="I223" t="str">
        <f>CLEAN("BIRON WCL XING SURFACE 281612V     ")</f>
        <v xml:space="preserve">BIRON WCL XING SURFACE 281612V     </v>
      </c>
      <c r="J223" t="str">
        <f>CLEAN("STH 054")</f>
        <v>STH 054</v>
      </c>
      <c r="K223" t="str">
        <f>CLEAN("WOOD                          ")</f>
        <v xml:space="preserve">WOOD                          </v>
      </c>
      <c r="L223" t="str">
        <f>CLEAN("WISCONSIN RAPIDS - PLOVER          ")</f>
        <v xml:space="preserve">WISCONSIN RAPIDS - PLOVER          </v>
      </c>
      <c r="M223" t="str">
        <f>CLEAN("BIRON/PLOVER XING APPROACH REPAIRS ")</f>
        <v xml:space="preserve">BIRON/PLOVER XING APPROACH REPAIRS </v>
      </c>
      <c r="N223">
        <v>0</v>
      </c>
      <c r="O223" t="str">
        <f>CLEAN("          ")</f>
        <v xml:space="preserve">          </v>
      </c>
      <c r="P223" t="str">
        <f t="shared" si="92"/>
        <v xml:space="preserve">STATE 3R                                                                                            </v>
      </c>
    </row>
    <row r="224" spans="1:16" x14ac:dyDescent="0.25">
      <c r="A224" t="str">
        <f t="shared" si="82"/>
        <v>10</v>
      </c>
      <c r="B224" t="str">
        <f t="shared" si="91"/>
        <v>24</v>
      </c>
      <c r="C224" s="1">
        <v>45986</v>
      </c>
      <c r="D224" t="str">
        <f>CLEAN("1520-01-52")</f>
        <v>1520-01-52</v>
      </c>
      <c r="E224" t="str">
        <f t="shared" si="89"/>
        <v xml:space="preserve">303  </v>
      </c>
      <c r="F224" t="str">
        <f>CLEAN("$500,000 - $749,999      ")</f>
        <v xml:space="preserve">$500,000 - $749,999      </v>
      </c>
      <c r="G224" t="str">
        <f>CLEAN("R/R")</f>
        <v>R/R</v>
      </c>
      <c r="H224" t="str">
        <f>CLEAN("NONLET CONSTR/REAL ESTATE")</f>
        <v>NONLET CONSTR/REAL ESTATE</v>
      </c>
      <c r="I224" t="str">
        <f>CLEAN("BIRON WCL XING SIGNALS 281612V     ")</f>
        <v xml:space="preserve">BIRON WCL XING SIGNALS 281612V     </v>
      </c>
      <c r="J224" t="str">
        <f>CLEAN("STH 054")</f>
        <v>STH 054</v>
      </c>
      <c r="K224" t="str">
        <f>CLEAN("WOOD                          ")</f>
        <v xml:space="preserve">WOOD                          </v>
      </c>
      <c r="L224" t="str">
        <f>CLEAN("WISCONSIN RAPIDS - PLOVER          ")</f>
        <v xml:space="preserve">WISCONSIN RAPIDS - PLOVER          </v>
      </c>
      <c r="M224" t="str">
        <f>CLEAN("BIRON/PLOVER XING APPROACH REPAIRS ")</f>
        <v xml:space="preserve">BIRON/PLOVER XING APPROACH REPAIRS </v>
      </c>
      <c r="N224">
        <v>0</v>
      </c>
      <c r="O224" t="str">
        <f>CLEAN("          ")</f>
        <v xml:space="preserve">          </v>
      </c>
      <c r="P224" t="str">
        <f t="shared" si="92"/>
        <v xml:space="preserve">STATE 3R                                                                                            </v>
      </c>
    </row>
    <row r="225" spans="1:16" x14ac:dyDescent="0.25">
      <c r="A225" t="str">
        <f t="shared" si="82"/>
        <v>10</v>
      </c>
      <c r="B225" t="str">
        <f t="shared" si="91"/>
        <v>24</v>
      </c>
      <c r="C225" s="1">
        <v>45986</v>
      </c>
      <c r="D225" t="str">
        <f>CLEAN("1520-01-53")</f>
        <v>1520-01-53</v>
      </c>
      <c r="E225" t="str">
        <f t="shared" si="89"/>
        <v xml:space="preserve">303  </v>
      </c>
      <c r="F225" t="str">
        <f>CLEAN("$250,000 - $499,999      ")</f>
        <v xml:space="preserve">$250,000 - $499,999      </v>
      </c>
      <c r="G225" t="str">
        <f>CLEAN("R/R")</f>
        <v>R/R</v>
      </c>
      <c r="H225" t="str">
        <f>CLEAN("NONLET CONSTR/REAL ESTATE")</f>
        <v>NONLET CONSTR/REAL ESTATE</v>
      </c>
      <c r="I225" t="str">
        <f>CLEAN("PLOVER WCL XING SURFACE 693765M    ")</f>
        <v xml:space="preserve">PLOVER WCL XING SURFACE 693765M    </v>
      </c>
      <c r="J225" t="str">
        <f>CLEAN("STH 054")</f>
        <v>STH 054</v>
      </c>
      <c r="K225" t="str">
        <f>CLEAN("PORTAGE                       ")</f>
        <v xml:space="preserve">PORTAGE                       </v>
      </c>
      <c r="L225" t="str">
        <f>CLEAN("WISCONSIN RAPIDS - PLOVER          ")</f>
        <v xml:space="preserve">WISCONSIN RAPIDS - PLOVER          </v>
      </c>
      <c r="M225" t="str">
        <f>CLEAN("BIRON/PLOVER XING APPROACH REPAIRS ")</f>
        <v xml:space="preserve">BIRON/PLOVER XING APPROACH REPAIRS </v>
      </c>
      <c r="N225">
        <v>0</v>
      </c>
      <c r="O225" t="str">
        <f>CLEAN("          ")</f>
        <v xml:space="preserve">          </v>
      </c>
      <c r="P225" t="str">
        <f t="shared" si="92"/>
        <v xml:space="preserve">STATE 3R                                                                                            </v>
      </c>
    </row>
    <row r="226" spans="1:16" x14ac:dyDescent="0.25">
      <c r="A226" t="str">
        <f t="shared" si="82"/>
        <v>10</v>
      </c>
      <c r="B226" t="str">
        <f t="shared" si="91"/>
        <v>24</v>
      </c>
      <c r="C226" s="1">
        <v>46000</v>
      </c>
      <c r="D226" t="str">
        <f>CLEAN("1520-01-61")</f>
        <v>1520-01-61</v>
      </c>
      <c r="E226" t="str">
        <f t="shared" si="89"/>
        <v xml:space="preserve">303  </v>
      </c>
      <c r="F226" t="str">
        <f>CLEAN("$250,000 - $499,999      ")</f>
        <v xml:space="preserve">$250,000 - $499,999      </v>
      </c>
      <c r="G226" t="str">
        <f>CLEAN("LET")</f>
        <v>LET</v>
      </c>
      <c r="H226" t="str">
        <f>CLEAN("LET CONSTRUCTION         ")</f>
        <v xml:space="preserve">LET CONSTRUCTION         </v>
      </c>
      <c r="I226" t="str">
        <f>CLEAN("CONST/PSRS20                       ")</f>
        <v xml:space="preserve">CONST/PSRS20                       </v>
      </c>
      <c r="J226" t="str">
        <f>CLEAN("STH 054")</f>
        <v>STH 054</v>
      </c>
      <c r="K226" t="str">
        <f>CLEAN("WOOD                          ")</f>
        <v xml:space="preserve">WOOD                          </v>
      </c>
      <c r="L226" t="str">
        <f>CLEAN("WISCONSIN RAPIDS - PLOVER          ")</f>
        <v xml:space="preserve">WISCONSIN RAPIDS - PLOVER          </v>
      </c>
      <c r="M226" t="str">
        <f>CLEAN("BIRON/PLOVER XING APPROACH REPAIRS ")</f>
        <v xml:space="preserve">BIRON/PLOVER XING APPROACH REPAIRS </v>
      </c>
      <c r="N226">
        <v>6.0999999999999999E-2</v>
      </c>
      <c r="O226" t="str">
        <f>CLEAN("          ")</f>
        <v xml:space="preserve">          </v>
      </c>
      <c r="P226" t="str">
        <f t="shared" si="92"/>
        <v xml:space="preserve">STATE 3R                                                                                            </v>
      </c>
    </row>
    <row r="227" spans="1:16" x14ac:dyDescent="0.25">
      <c r="A227" t="str">
        <f t="shared" si="82"/>
        <v>10</v>
      </c>
      <c r="B227" t="str">
        <f t="shared" ref="B227:B242" si="93">CLEAN("25")</f>
        <v>25</v>
      </c>
      <c r="C227" s="1">
        <v>46198</v>
      </c>
      <c r="D227" t="str">
        <f>CLEAN("1520-02-23")</f>
        <v>1520-02-23</v>
      </c>
      <c r="E227" t="str">
        <f t="shared" si="89"/>
        <v xml:space="preserve">303  </v>
      </c>
      <c r="F227" t="str">
        <f>CLEAN("$0 - $99,999             ")</f>
        <v xml:space="preserve">$0 - $99,999             </v>
      </c>
      <c r="G227" t="str">
        <f>CLEAN("R/E")</f>
        <v>R/E</v>
      </c>
      <c r="H227" t="str">
        <f>CLEAN("NONLET CONSTR/REAL ESTATE")</f>
        <v>NONLET CONSTR/REAL ESTATE</v>
      </c>
      <c r="I227" t="str">
        <f>CLEAN("REAL ESTATE ACQUISITION            ")</f>
        <v xml:space="preserve">REAL ESTATE ACQUISITION            </v>
      </c>
      <c r="J227" t="str">
        <f>CLEAN("USH 010")</f>
        <v>USH 010</v>
      </c>
      <c r="K227" t="str">
        <f>CLEAN("CLARK                         ")</f>
        <v xml:space="preserve">CLARK                         </v>
      </c>
      <c r="L227" t="str">
        <f>CLEAN("FAIRCHILD - NEILLSVILLE            ")</f>
        <v xml:space="preserve">FAIRCHILD - NEILLSVILLE            </v>
      </c>
      <c r="M227" t="str">
        <f>CLEAN("BACHELORS AVE TO STH 73 S          ")</f>
        <v xml:space="preserve">BACHELORS AVE TO STH 73 S          </v>
      </c>
      <c r="N227">
        <v>7.8</v>
      </c>
      <c r="O227" t="str">
        <f>CLEAN("          ")</f>
        <v xml:space="preserve">          </v>
      </c>
      <c r="P227" t="str">
        <f t="shared" si="92"/>
        <v xml:space="preserve">STATE 3R                                                                                            </v>
      </c>
    </row>
    <row r="228" spans="1:16" x14ac:dyDescent="0.25">
      <c r="A228" t="str">
        <f t="shared" si="82"/>
        <v>10</v>
      </c>
      <c r="B228" t="str">
        <f t="shared" si="93"/>
        <v>25</v>
      </c>
      <c r="C228" s="1">
        <v>45944</v>
      </c>
      <c r="D228" t="str">
        <f>CLEAN("1530-01-76")</f>
        <v>1530-01-76</v>
      </c>
      <c r="E228" t="str">
        <f t="shared" si="89"/>
        <v xml:space="preserve">303  </v>
      </c>
      <c r="F228" t="str">
        <f>CLEAN("$750,000 - $999,999      ")</f>
        <v xml:space="preserve">$750,000 - $999,999      </v>
      </c>
      <c r="G228" t="str">
        <f>CLEAN("LET")</f>
        <v>LET</v>
      </c>
      <c r="H228" t="str">
        <f>CLEAN("LET CONSTRUCTION         ")</f>
        <v xml:space="preserve">LET CONSTRUCTION         </v>
      </c>
      <c r="I228" t="str">
        <f>CLEAN("CONSTRUCTION/CULVERTS              ")</f>
        <v xml:space="preserve">CONSTRUCTION/CULVERTS              </v>
      </c>
      <c r="J228" t="str">
        <f>CLEAN("USH 010")</f>
        <v>USH 010</v>
      </c>
      <c r="K228" t="str">
        <f>CLEAN("PIERCE                        ")</f>
        <v xml:space="preserve">PIERCE                        </v>
      </c>
      <c r="L228" t="str">
        <f>CLEAN("ELLSWORTH - DURAND                 ")</f>
        <v xml:space="preserve">ELLSWORTH - DURAND                 </v>
      </c>
      <c r="M228" t="str">
        <f>CLEAN("CULVERTS C-47-0062 &amp; C-47-0236     ")</f>
        <v xml:space="preserve">CULVERTS C-47-0062 &amp; C-47-0236     </v>
      </c>
      <c r="N228">
        <v>6.5000000000000002E-2</v>
      </c>
      <c r="O228" t="str">
        <f>CLEAN("1540-00-73")</f>
        <v>1540-00-73</v>
      </c>
      <c r="P228" t="str">
        <f>CLEAN("SHR BRIDGES                                                                                         ")</f>
        <v xml:space="preserve">SHR BRIDGES                                                                                         </v>
      </c>
    </row>
    <row r="229" spans="1:16" x14ac:dyDescent="0.25">
      <c r="A229" t="str">
        <f t="shared" si="82"/>
        <v>10</v>
      </c>
      <c r="B229" t="str">
        <f t="shared" si="93"/>
        <v>25</v>
      </c>
      <c r="C229" s="1">
        <v>45972</v>
      </c>
      <c r="D229" t="str">
        <f>CLEAN("1530-05-75")</f>
        <v>1530-05-75</v>
      </c>
      <c r="E229" t="str">
        <f t="shared" si="89"/>
        <v xml:space="preserve">303  </v>
      </c>
      <c r="F229" t="str">
        <f>CLEAN("$2,000,000 - $2,999,999  ")</f>
        <v xml:space="preserve">$2,000,000 - $2,999,999  </v>
      </c>
      <c r="G229" t="str">
        <f>CLEAN("LET")</f>
        <v>LET</v>
      </c>
      <c r="H229" t="str">
        <f>CLEAN("LET CONSTRUCTION         ")</f>
        <v xml:space="preserve">LET CONSTRUCTION         </v>
      </c>
      <c r="I229" t="str">
        <f>CLEAN("CONSTRUCTION/SAFETY                ")</f>
        <v xml:space="preserve">CONSTRUCTION/SAFETY                </v>
      </c>
      <c r="J229" t="str">
        <f>CLEAN("USH 010")</f>
        <v>USH 010</v>
      </c>
      <c r="K229" t="str">
        <f>CLEAN("PEPIN                         ")</f>
        <v xml:space="preserve">PEPIN                         </v>
      </c>
      <c r="L229" t="str">
        <f>CLEAN("ELLSWORTH - DURAND                 ")</f>
        <v xml:space="preserve">ELLSWORTH - DURAND                 </v>
      </c>
      <c r="M229" t="str">
        <f>CLEAN("STH 25 N INTERSECTION              ")</f>
        <v xml:space="preserve">STH 25 N INTERSECTION              </v>
      </c>
      <c r="N229">
        <v>0.31900000000000001</v>
      </c>
      <c r="O229" t="str">
        <f>CLEAN("          ")</f>
        <v xml:space="preserve">          </v>
      </c>
      <c r="P229" t="str">
        <f>CLEAN("SAFETY (REGULAR HSIP)                                                                               ")</f>
        <v xml:space="preserve">SAFETY (REGULAR HSIP)                                                                               </v>
      </c>
    </row>
    <row r="230" spans="1:16" x14ac:dyDescent="0.25">
      <c r="A230" t="str">
        <f t="shared" si="82"/>
        <v>10</v>
      </c>
      <c r="B230" t="str">
        <f t="shared" si="93"/>
        <v>25</v>
      </c>
      <c r="C230" s="1">
        <v>45972</v>
      </c>
      <c r="D230" t="str">
        <f>CLEAN("1530-05-75")</f>
        <v>1530-05-75</v>
      </c>
      <c r="E230" t="str">
        <f t="shared" si="89"/>
        <v xml:space="preserve">303  </v>
      </c>
      <c r="F230" t="str">
        <f>CLEAN("$2,000,000 - $2,999,999  ")</f>
        <v xml:space="preserve">$2,000,000 - $2,999,999  </v>
      </c>
      <c r="G230" t="str">
        <f>CLEAN("LET")</f>
        <v>LET</v>
      </c>
      <c r="H230" t="str">
        <f>CLEAN("LET CONSTRUCTION         ")</f>
        <v xml:space="preserve">LET CONSTRUCTION         </v>
      </c>
      <c r="I230" t="str">
        <f>CLEAN("CONSTRUCTION/SAFETY                ")</f>
        <v xml:space="preserve">CONSTRUCTION/SAFETY                </v>
      </c>
      <c r="J230" t="str">
        <f>CLEAN("USH 010")</f>
        <v>USH 010</v>
      </c>
      <c r="K230" t="str">
        <f>CLEAN("PEPIN                         ")</f>
        <v xml:space="preserve">PEPIN                         </v>
      </c>
      <c r="L230" t="str">
        <f>CLEAN("ELLSWORTH - DURAND                 ")</f>
        <v xml:space="preserve">ELLSWORTH - DURAND                 </v>
      </c>
      <c r="M230" t="str">
        <f>CLEAN("STH 25 N INTERSECTION              ")</f>
        <v xml:space="preserve">STH 25 N INTERSECTION              </v>
      </c>
      <c r="N230">
        <v>0.31900000000000001</v>
      </c>
      <c r="O230" t="str">
        <f>CLEAN("          ")</f>
        <v xml:space="preserve">          </v>
      </c>
      <c r="P230" t="str">
        <f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231" spans="1:16" x14ac:dyDescent="0.25">
      <c r="A231" t="str">
        <f t="shared" si="82"/>
        <v>10</v>
      </c>
      <c r="B231" t="str">
        <f t="shared" si="93"/>
        <v>25</v>
      </c>
      <c r="C231" s="1">
        <v>46126</v>
      </c>
      <c r="D231" t="str">
        <f>CLEAN("1530-06-79")</f>
        <v>1530-06-79</v>
      </c>
      <c r="E231" t="str">
        <f t="shared" si="89"/>
        <v xml:space="preserve">303  </v>
      </c>
      <c r="F231" t="str">
        <f>CLEAN("$2,000,000 - $2,999,999  ")</f>
        <v xml:space="preserve">$2,000,000 - $2,999,999  </v>
      </c>
      <c r="G231" t="str">
        <f>CLEAN("LET")</f>
        <v>LET</v>
      </c>
      <c r="H231" t="str">
        <f>CLEAN("LET CONSTRUCTION         ")</f>
        <v xml:space="preserve">LET CONSTRUCTION         </v>
      </c>
      <c r="I231" t="str">
        <f>CLEAN("CONSTRUCTION/RESURFACE             ")</f>
        <v xml:space="preserve">CONSTRUCTION/RESURFACE             </v>
      </c>
      <c r="J231" t="str">
        <f>CLEAN("USH 010")</f>
        <v>USH 010</v>
      </c>
      <c r="K231" t="str">
        <f>CLEAN("BUFFALO                       ")</f>
        <v xml:space="preserve">BUFFALO                       </v>
      </c>
      <c r="L231" t="str">
        <f>CLEAN("DURAND - MONDOVI                   ")</f>
        <v xml:space="preserve">DURAND - MONDOVI                   </v>
      </c>
      <c r="M231" t="str">
        <f>CLEAN("PEPIN COUNTY LINE TO CTH A         ")</f>
        <v xml:space="preserve">PEPIN COUNTY LINE TO CTH A         </v>
      </c>
      <c r="N231">
        <v>5.16</v>
      </c>
      <c r="O231" t="str">
        <f>CLEAN("          ")</f>
        <v xml:space="preserve">          </v>
      </c>
      <c r="P231" t="str">
        <f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232" spans="1:16" x14ac:dyDescent="0.25">
      <c r="A232" t="str">
        <f t="shared" si="82"/>
        <v>10</v>
      </c>
      <c r="B232" t="str">
        <f t="shared" si="93"/>
        <v>25</v>
      </c>
      <c r="C232" s="1">
        <v>45944</v>
      </c>
      <c r="D232" t="str">
        <f>CLEAN("1540-00-73")</f>
        <v>1540-00-73</v>
      </c>
      <c r="E232" t="str">
        <f t="shared" si="89"/>
        <v xml:space="preserve">303  </v>
      </c>
      <c r="F232" t="str">
        <f>CLEAN("$750,000 - $999,999      ")</f>
        <v xml:space="preserve">$750,000 - $999,999      </v>
      </c>
      <c r="G232" t="str">
        <f>CLEAN("LET")</f>
        <v>LET</v>
      </c>
      <c r="H232" t="str">
        <f>CLEAN("LET CONSTRUCTION         ")</f>
        <v xml:space="preserve">LET CONSTRUCTION         </v>
      </c>
      <c r="I232" t="str">
        <f>CLEAN("CONSTR/MISC/CULVERT REPLACEMENT    ")</f>
        <v xml:space="preserve">CONSTR/MISC/CULVERT REPLACEMENT    </v>
      </c>
      <c r="J232" t="str">
        <f>CLEAN("STH 065")</f>
        <v>STH 065</v>
      </c>
      <c r="K232" t="str">
        <f>CLEAN("PIERCE                        ")</f>
        <v xml:space="preserve">PIERCE                        </v>
      </c>
      <c r="L232" t="str">
        <f>CLEAN("ELLSWORTH - RIVER FALLS            ")</f>
        <v xml:space="preserve">ELLSWORTH - RIVER FALLS            </v>
      </c>
      <c r="M232" t="str">
        <f>CLEAN("CULVERTS C-47-0063 &amp; C-47-0065     ")</f>
        <v xml:space="preserve">CULVERTS C-47-0063 &amp; C-47-0065     </v>
      </c>
      <c r="N232">
        <v>4.4999999999999998E-2</v>
      </c>
      <c r="O232" t="str">
        <f>CLEAN("1530-01-76")</f>
        <v>1530-01-76</v>
      </c>
      <c r="P232" t="str">
        <f>CLEAN("SHR BRIDGES                                                                                         ")</f>
        <v xml:space="preserve">SHR BRIDGES                                                                                         </v>
      </c>
    </row>
    <row r="233" spans="1:16" x14ac:dyDescent="0.25">
      <c r="A233" t="str">
        <f t="shared" si="82"/>
        <v>10</v>
      </c>
      <c r="B233" t="str">
        <f t="shared" si="93"/>
        <v>25</v>
      </c>
      <c r="C233" s="1">
        <v>46167</v>
      </c>
      <c r="D233" t="str">
        <f>CLEAN("1550-02-29")</f>
        <v>1550-02-29</v>
      </c>
      <c r="E233" t="str">
        <f t="shared" si="89"/>
        <v xml:space="preserve">303  </v>
      </c>
      <c r="F233" t="str">
        <f>CLEAN("$0 - $99,999             ")</f>
        <v xml:space="preserve">$0 - $99,999             </v>
      </c>
      <c r="G233" t="str">
        <f>CLEAN("R/E")</f>
        <v>R/E</v>
      </c>
      <c r="H233" t="str">
        <f>CLEAN("NONLET CONSTR/REAL ESTATE")</f>
        <v>NONLET CONSTR/REAL ESTATE</v>
      </c>
      <c r="I233" t="str">
        <f>CLEAN("REAL ESTATE ACQUISITION            ")</f>
        <v xml:space="preserve">REAL ESTATE ACQUISITION            </v>
      </c>
      <c r="J233" t="str">
        <f t="shared" ref="J233:J239" si="94">CLEAN("USH 063")</f>
        <v>USH 063</v>
      </c>
      <c r="K233" t="str">
        <f>CLEAN("ST. CROIX                     ")</f>
        <v xml:space="preserve">ST. CROIX                     </v>
      </c>
      <c r="L233" t="str">
        <f>CLEAN("BALDWIN - CLEAR LAKE               ")</f>
        <v xml:space="preserve">BALDWIN - CLEAR LAKE               </v>
      </c>
      <c r="M233" t="str">
        <f>CLEAN("RUSH RIVER BRIDGE B-55-0609        ")</f>
        <v xml:space="preserve">RUSH RIVER BRIDGE B-55-0609        </v>
      </c>
      <c r="N233">
        <v>0</v>
      </c>
      <c r="O233" t="str">
        <f t="shared" ref="O233:O249" si="95">CLEAN("          ")</f>
        <v xml:space="preserve">          </v>
      </c>
      <c r="P233" t="str">
        <f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234" spans="1:16" x14ac:dyDescent="0.25">
      <c r="A234" t="str">
        <f t="shared" si="82"/>
        <v>10</v>
      </c>
      <c r="B234" t="str">
        <f t="shared" si="93"/>
        <v>25</v>
      </c>
      <c r="C234" s="1">
        <v>45894</v>
      </c>
      <c r="D234" t="str">
        <f>CLEAN("1550-02-83")</f>
        <v>1550-02-83</v>
      </c>
      <c r="E234" t="str">
        <f t="shared" si="89"/>
        <v xml:space="preserve">303  </v>
      </c>
      <c r="F234" t="str">
        <f>CLEAN("$0 - $99,999             ")</f>
        <v xml:space="preserve">$0 - $99,999             </v>
      </c>
      <c r="G234" t="str">
        <f>CLEAN("MIS")</f>
        <v>MIS</v>
      </c>
      <c r="H234" t="str">
        <f>CLEAN("NONLET CONSTR/REAL ESTATE")</f>
        <v>NONLET CONSTR/REAL ESTATE</v>
      </c>
      <c r="I234" t="str">
        <f>CLEAN("CONSTR/MISC/TRF SIGNAL EQUIPMENT   ")</f>
        <v xml:space="preserve">CONSTR/MISC/TRF SIGNAL EQUIPMENT   </v>
      </c>
      <c r="J234" t="str">
        <f t="shared" si="94"/>
        <v>USH 063</v>
      </c>
      <c r="K234" t="str">
        <f>CLEAN("ST. CROIX                     ")</f>
        <v xml:space="preserve">ST. CROIX                     </v>
      </c>
      <c r="L234" t="str">
        <f>CLEAN("BALDWIN - CLEAR LAKE               ")</f>
        <v xml:space="preserve">BALDWIN - CLEAR LAKE               </v>
      </c>
      <c r="M234" t="str">
        <f>CLEAN("BRANCH RUSH RIVER BRIDGE B-55-0289 ")</f>
        <v xml:space="preserve">BRANCH RUSH RIVER BRIDGE B-55-0289 </v>
      </c>
      <c r="N234">
        <v>0</v>
      </c>
      <c r="O234" t="str">
        <f t="shared" si="95"/>
        <v xml:space="preserve">          </v>
      </c>
      <c r="P234" t="str">
        <f>CLEAN("SHR BRIDGES                                                                                         ")</f>
        <v xml:space="preserve">SHR BRIDGES                                                                                         </v>
      </c>
    </row>
    <row r="235" spans="1:16" x14ac:dyDescent="0.25">
      <c r="A235" t="str">
        <f t="shared" si="82"/>
        <v>10</v>
      </c>
      <c r="B235" t="str">
        <f t="shared" si="93"/>
        <v>25</v>
      </c>
      <c r="C235" s="1">
        <v>45972</v>
      </c>
      <c r="D235" t="str">
        <f>CLEAN("1550-04-77")</f>
        <v>1550-04-77</v>
      </c>
      <c r="E235" t="str">
        <f t="shared" si="89"/>
        <v xml:space="preserve">303  </v>
      </c>
      <c r="F235" t="str">
        <f>CLEAN("$4,000,000 - $4,999,999  ")</f>
        <v xml:space="preserve">$4,000,000 - $4,999,999  </v>
      </c>
      <c r="G235" t="str">
        <f t="shared" ref="G235:G242" si="96">CLEAN("LET")</f>
        <v>LET</v>
      </c>
      <c r="H235" t="str">
        <f t="shared" ref="H235:H242" si="97">CLEAN("LET CONSTRUCTION         ")</f>
        <v xml:space="preserve">LET CONSTRUCTION         </v>
      </c>
      <c r="I235" t="str">
        <f>CLEAN("CONSTRUCTION/RESURFACE             ")</f>
        <v xml:space="preserve">CONSTRUCTION/RESURFACE             </v>
      </c>
      <c r="J235" t="str">
        <f t="shared" si="94"/>
        <v>USH 063</v>
      </c>
      <c r="K235" t="str">
        <f>CLEAN("BARRON                        ")</f>
        <v xml:space="preserve">BARRON                        </v>
      </c>
      <c r="L235" t="str">
        <f>CLEAN("CUMBERLAND - SPOONER               ")</f>
        <v xml:space="preserve">CUMBERLAND - SPOONER               </v>
      </c>
      <c r="M235" t="str">
        <f>CLEAN("CHARRIE LN TO BARRON/WASHBURN CO LN")</f>
        <v>CHARRIE LN TO BARRON/WASHBURN CO LN</v>
      </c>
      <c r="N235">
        <v>6.5250000000000004</v>
      </c>
      <c r="O235" t="str">
        <f t="shared" si="95"/>
        <v xml:space="preserve">          </v>
      </c>
      <c r="P235" t="str">
        <f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236" spans="1:16" x14ac:dyDescent="0.25">
      <c r="A236" t="str">
        <f t="shared" si="82"/>
        <v>10</v>
      </c>
      <c r="B236" t="str">
        <f t="shared" si="93"/>
        <v>25</v>
      </c>
      <c r="C236" s="1">
        <v>46154</v>
      </c>
      <c r="D236" t="str">
        <f>CLEAN("1550-04-78")</f>
        <v>1550-04-78</v>
      </c>
      <c r="E236" t="str">
        <f t="shared" si="89"/>
        <v xml:space="preserve">303  </v>
      </c>
      <c r="F236" t="str">
        <f>CLEAN("$8,000,000 - $8,999,999  ")</f>
        <v xml:space="preserve">$8,000,000 - $8,999,999  </v>
      </c>
      <c r="G236" t="str">
        <f t="shared" si="96"/>
        <v>LET</v>
      </c>
      <c r="H236" t="str">
        <f t="shared" si="97"/>
        <v xml:space="preserve">LET CONSTRUCTION         </v>
      </c>
      <c r="I236" t="str">
        <f>CLEAN("CONSTRUCTION/RESURFACE             ")</f>
        <v xml:space="preserve">CONSTRUCTION/RESURFACE             </v>
      </c>
      <c r="J236" t="str">
        <f t="shared" si="94"/>
        <v>USH 063</v>
      </c>
      <c r="K236" t="str">
        <f>CLEAN("BARRON                        ")</f>
        <v xml:space="preserve">BARRON                        </v>
      </c>
      <c r="L236" t="str">
        <f>CLEAN("CLEAR LAKE - CUMBERLAND            ")</f>
        <v xml:space="preserve">CLEAR LAKE - CUMBERLAND            </v>
      </c>
      <c r="M236" t="str">
        <f>CLEAN("USH 8 E TO STH 48 W                ")</f>
        <v xml:space="preserve">USH 8 E TO STH 48 W                </v>
      </c>
      <c r="N236">
        <v>10.888999999999999</v>
      </c>
      <c r="O236" t="str">
        <f t="shared" si="95"/>
        <v xml:space="preserve">          </v>
      </c>
      <c r="P236" t="str">
        <f>CLEAN("SAFETY (REGULAR HSIP)                                                                               ")</f>
        <v xml:space="preserve">SAFETY (REGULAR HSIP)                                                                               </v>
      </c>
    </row>
    <row r="237" spans="1:16" x14ac:dyDescent="0.25">
      <c r="A237" t="str">
        <f t="shared" si="82"/>
        <v>10</v>
      </c>
      <c r="B237" t="str">
        <f t="shared" si="93"/>
        <v>25</v>
      </c>
      <c r="C237" s="1">
        <v>46154</v>
      </c>
      <c r="D237" t="str">
        <f>CLEAN("1550-04-78")</f>
        <v>1550-04-78</v>
      </c>
      <c r="E237" t="str">
        <f t="shared" si="89"/>
        <v xml:space="preserve">303  </v>
      </c>
      <c r="F237" t="str">
        <f>CLEAN("$8,000,000 - $8,999,999  ")</f>
        <v xml:space="preserve">$8,000,000 - $8,999,999  </v>
      </c>
      <c r="G237" t="str">
        <f t="shared" si="96"/>
        <v>LET</v>
      </c>
      <c r="H237" t="str">
        <f t="shared" si="97"/>
        <v xml:space="preserve">LET CONSTRUCTION         </v>
      </c>
      <c r="I237" t="str">
        <f>CLEAN("CONSTRUCTION/RESURFACE             ")</f>
        <v xml:space="preserve">CONSTRUCTION/RESURFACE             </v>
      </c>
      <c r="J237" t="str">
        <f t="shared" si="94"/>
        <v>USH 063</v>
      </c>
      <c r="K237" t="str">
        <f>CLEAN("BARRON                        ")</f>
        <v xml:space="preserve">BARRON                        </v>
      </c>
      <c r="L237" t="str">
        <f>CLEAN("CLEAR LAKE - CUMBERLAND            ")</f>
        <v xml:space="preserve">CLEAR LAKE - CUMBERLAND            </v>
      </c>
      <c r="M237" t="str">
        <f>CLEAN("USH 8 E TO STH 48 W                ")</f>
        <v xml:space="preserve">USH 8 E TO STH 48 W                </v>
      </c>
      <c r="N237">
        <v>10.888999999999999</v>
      </c>
      <c r="O237" t="str">
        <f t="shared" si="95"/>
        <v xml:space="preserve">          </v>
      </c>
      <c r="P237" t="str">
        <f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238" spans="1:16" x14ac:dyDescent="0.25">
      <c r="A238" t="str">
        <f t="shared" si="82"/>
        <v>10</v>
      </c>
      <c r="B238" t="str">
        <f t="shared" si="93"/>
        <v>25</v>
      </c>
      <c r="C238" s="1">
        <v>46063</v>
      </c>
      <c r="D238" t="str">
        <f>CLEAN("1550-04-79")</f>
        <v>1550-04-79</v>
      </c>
      <c r="E238" t="str">
        <f t="shared" si="89"/>
        <v xml:space="preserve">303  </v>
      </c>
      <c r="F238" t="str">
        <f>CLEAN("$2,000,000 - $2,999,999  ")</f>
        <v xml:space="preserve">$2,000,000 - $2,999,999  </v>
      </c>
      <c r="G238" t="str">
        <f t="shared" si="96"/>
        <v>LET</v>
      </c>
      <c r="H238" t="str">
        <f t="shared" si="97"/>
        <v xml:space="preserve">LET CONSTRUCTION         </v>
      </c>
      <c r="I238" t="str">
        <f>CLEAN("CONSTRUCTION/NEW BRIDGE            ")</f>
        <v xml:space="preserve">CONSTRUCTION/NEW BRIDGE            </v>
      </c>
      <c r="J238" t="str">
        <f t="shared" si="94"/>
        <v>USH 063</v>
      </c>
      <c r="K238" t="str">
        <f>CLEAN("BARRON                        ")</f>
        <v xml:space="preserve">BARRON                        </v>
      </c>
      <c r="L238" t="str">
        <f>CLEAN("C CUMBERLAND, SUPERIOR AVENUE      ")</f>
        <v xml:space="preserve">C CUMBERLAND, SUPERIOR AVENUE      </v>
      </c>
      <c r="M238" t="str">
        <f>CLEAN("BEAVER DAM LAKE B-03-0214          ")</f>
        <v xml:space="preserve">BEAVER DAM LAKE B-03-0214          </v>
      </c>
      <c r="N238">
        <v>0.186</v>
      </c>
      <c r="O238" t="str">
        <f t="shared" si="95"/>
        <v xml:space="preserve">          </v>
      </c>
      <c r="P238" t="str">
        <f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239" spans="1:16" x14ac:dyDescent="0.25">
      <c r="A239" t="str">
        <f t="shared" si="82"/>
        <v>10</v>
      </c>
      <c r="B239" t="str">
        <f t="shared" si="93"/>
        <v>25</v>
      </c>
      <c r="C239" s="1">
        <v>46063</v>
      </c>
      <c r="D239" t="str">
        <f>CLEAN("1560-02-74")</f>
        <v>1560-02-74</v>
      </c>
      <c r="E239" t="str">
        <f t="shared" si="89"/>
        <v xml:space="preserve">303  </v>
      </c>
      <c r="F239" t="str">
        <f>CLEAN("$1,000,000 - $1,999,999  ")</f>
        <v xml:space="preserve">$1,000,000 - $1,999,999  </v>
      </c>
      <c r="G239" t="str">
        <f t="shared" si="96"/>
        <v>LET</v>
      </c>
      <c r="H239" t="str">
        <f t="shared" si="97"/>
        <v xml:space="preserve">LET CONSTRUCTION         </v>
      </c>
      <c r="I239" t="str">
        <f>CLEAN("CONSTRUCTION/CULVERT REPLACEMENT   ")</f>
        <v xml:space="preserve">CONSTRUCTION/CULVERT REPLACEMENT   </v>
      </c>
      <c r="J239" t="str">
        <f t="shared" si="94"/>
        <v>USH 063</v>
      </c>
      <c r="K239" t="str">
        <f>CLEAN("BAYFIELD                      ")</f>
        <v xml:space="preserve">BAYFIELD                      </v>
      </c>
      <c r="L239" t="str">
        <f>CLEAN("DRUMMOND - USH 2                   ")</f>
        <v xml:space="preserve">DRUMMOND - USH 2                   </v>
      </c>
      <c r="M239" t="str">
        <f>CLEAN("MILL POND DAM                      ")</f>
        <v xml:space="preserve">MILL POND DAM                      </v>
      </c>
      <c r="N239">
        <v>0.38</v>
      </c>
      <c r="O239" t="str">
        <f t="shared" si="95"/>
        <v xml:space="preserve">          </v>
      </c>
      <c r="P239" t="str">
        <f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240" spans="1:16" x14ac:dyDescent="0.25">
      <c r="A240" t="str">
        <f t="shared" si="82"/>
        <v>10</v>
      </c>
      <c r="B240" t="str">
        <f t="shared" si="93"/>
        <v>25</v>
      </c>
      <c r="C240" s="1">
        <v>45944</v>
      </c>
      <c r="D240" t="str">
        <f>CLEAN("1570-00-78")</f>
        <v>1570-00-78</v>
      </c>
      <c r="E240" t="str">
        <f t="shared" si="89"/>
        <v xml:space="preserve">303  </v>
      </c>
      <c r="F240" t="str">
        <f>CLEAN("$7,000,000 - $7,999,999  ")</f>
        <v xml:space="preserve">$7,000,000 - $7,999,999  </v>
      </c>
      <c r="G240" t="str">
        <f t="shared" si="96"/>
        <v>LET</v>
      </c>
      <c r="H240" t="str">
        <f t="shared" si="97"/>
        <v xml:space="preserve">LET CONSTRUCTION         </v>
      </c>
      <c r="I240" t="str">
        <f>CLEAN("CONSTRUCTION/RESURFACING           ")</f>
        <v xml:space="preserve">CONSTRUCTION/RESURFACING           </v>
      </c>
      <c r="J240" t="str">
        <f t="shared" ref="J240:J245" si="98">CLEAN("USH 008")</f>
        <v>USH 008</v>
      </c>
      <c r="K240" t="str">
        <f>CLEAN("POLK                          ")</f>
        <v xml:space="preserve">POLK                          </v>
      </c>
      <c r="L240" t="str">
        <f>CLEAN("ST CROIX FALLS - TURTLE LAKE       ")</f>
        <v xml:space="preserve">ST CROIX FALLS - TURTLE LAKE       </v>
      </c>
      <c r="M240" t="str">
        <f>CLEAN("STH 35 N TO STH 46 S               ")</f>
        <v xml:space="preserve">STH 35 N TO STH 46 S               </v>
      </c>
      <c r="N240">
        <v>9.3640000000000008</v>
      </c>
      <c r="O240" t="str">
        <f t="shared" si="95"/>
        <v xml:space="preserve">          </v>
      </c>
      <c r="P240" t="str">
        <f>CLEAN("SAFETY (REGULAR HSIP)                                                                               ")</f>
        <v xml:space="preserve">SAFETY (REGULAR HSIP)                                                                               </v>
      </c>
    </row>
    <row r="241" spans="1:16" x14ac:dyDescent="0.25">
      <c r="A241" t="str">
        <f t="shared" si="82"/>
        <v>10</v>
      </c>
      <c r="B241" t="str">
        <f t="shared" si="93"/>
        <v>25</v>
      </c>
      <c r="C241" s="1">
        <v>45944</v>
      </c>
      <c r="D241" t="str">
        <f>CLEAN("1570-00-78")</f>
        <v>1570-00-78</v>
      </c>
      <c r="E241" t="str">
        <f t="shared" si="89"/>
        <v xml:space="preserve">303  </v>
      </c>
      <c r="F241" t="str">
        <f>CLEAN("$7,000,000 - $7,999,999  ")</f>
        <v xml:space="preserve">$7,000,000 - $7,999,999  </v>
      </c>
      <c r="G241" t="str">
        <f t="shared" si="96"/>
        <v>LET</v>
      </c>
      <c r="H241" t="str">
        <f t="shared" si="97"/>
        <v xml:space="preserve">LET CONSTRUCTION         </v>
      </c>
      <c r="I241" t="str">
        <f>CLEAN("CONSTRUCTION/RESURFACING           ")</f>
        <v xml:space="preserve">CONSTRUCTION/RESURFACING           </v>
      </c>
      <c r="J241" t="str">
        <f t="shared" si="98"/>
        <v>USH 008</v>
      </c>
      <c r="K241" t="str">
        <f>CLEAN("POLK                          ")</f>
        <v xml:space="preserve">POLK                          </v>
      </c>
      <c r="L241" t="str">
        <f>CLEAN("ST CROIX FALLS - TURTLE LAKE       ")</f>
        <v xml:space="preserve">ST CROIX FALLS - TURTLE LAKE       </v>
      </c>
      <c r="M241" t="str">
        <f>CLEAN("STH 35 N TO STH 46 S               ")</f>
        <v xml:space="preserve">STH 35 N TO STH 46 S               </v>
      </c>
      <c r="N241">
        <v>9.3640000000000008</v>
      </c>
      <c r="O241" t="str">
        <f t="shared" si="95"/>
        <v xml:space="preserve">          </v>
      </c>
      <c r="P241" t="str">
        <f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242" spans="1:16" x14ac:dyDescent="0.25">
      <c r="A242" t="str">
        <f t="shared" si="82"/>
        <v>10</v>
      </c>
      <c r="B242" t="str">
        <f t="shared" si="93"/>
        <v>25</v>
      </c>
      <c r="C242" s="1">
        <v>46035</v>
      </c>
      <c r="D242" t="str">
        <f>CLEAN("1580-00-70")</f>
        <v>1580-00-70</v>
      </c>
      <c r="E242" t="str">
        <f t="shared" si="89"/>
        <v xml:space="preserve">303  </v>
      </c>
      <c r="F242" t="str">
        <f>CLEAN("$1,000,000 - $1,999,999  ")</f>
        <v xml:space="preserve">$1,000,000 - $1,999,999  </v>
      </c>
      <c r="G242" t="str">
        <f t="shared" si="96"/>
        <v>LET</v>
      </c>
      <c r="H242" t="str">
        <f t="shared" si="97"/>
        <v xml:space="preserve">LET CONSTRUCTION         </v>
      </c>
      <c r="I242" t="str">
        <f>CLEAN("CONSTRUCTION/BRIDGE REPLACEMENT    ")</f>
        <v xml:space="preserve">CONSTRUCTION/BRIDGE REPLACEMENT    </v>
      </c>
      <c r="J242" t="str">
        <f t="shared" si="98"/>
        <v>USH 008</v>
      </c>
      <c r="K242" t="str">
        <f>CLEAN("RUSK                          ")</f>
        <v xml:space="preserve">RUSK                          </v>
      </c>
      <c r="L242" t="str">
        <f>CLEAN("CAMERON - LADYSMITH                ")</f>
        <v xml:space="preserve">CAMERON - LADYSMITH                </v>
      </c>
      <c r="M242" t="str">
        <f>CLEAN("LITTLE SOFT MAPLE CR BRG B-54-0131 ")</f>
        <v xml:space="preserve">LITTLE SOFT MAPLE CR BRG B-54-0131 </v>
      </c>
      <c r="N242">
        <v>0.123</v>
      </c>
      <c r="O242" t="str">
        <f t="shared" si="95"/>
        <v xml:space="preserve">          </v>
      </c>
      <c r="P242" t="str">
        <f>CLEAN("SHR BRIDGES                                                                                         ")</f>
        <v xml:space="preserve">SHR BRIDGES                                                                                         </v>
      </c>
    </row>
    <row r="243" spans="1:16" x14ac:dyDescent="0.25">
      <c r="A243" t="str">
        <f t="shared" si="82"/>
        <v>10</v>
      </c>
      <c r="B243" t="str">
        <f>CLEAN("24")</f>
        <v>24</v>
      </c>
      <c r="C243" s="1">
        <v>46078</v>
      </c>
      <c r="D243" t="str">
        <f>CLEAN("1581-13-21")</f>
        <v>1581-13-21</v>
      </c>
      <c r="E243" t="str">
        <f t="shared" si="89"/>
        <v xml:space="preserve">303  </v>
      </c>
      <c r="F243" t="str">
        <f>CLEAN("$0 - $99,999             ")</f>
        <v xml:space="preserve">$0 - $99,999             </v>
      </c>
      <c r="G243" t="str">
        <f>CLEAN("R/E")</f>
        <v>R/E</v>
      </c>
      <c r="H243" t="str">
        <f>CLEAN("NONLET CONSTR/REAL ESTATE")</f>
        <v>NONLET CONSTR/REAL ESTATE</v>
      </c>
      <c r="I243" t="str">
        <f>CLEAN("REAL ESTATE/RESURFACE              ")</f>
        <v xml:space="preserve">REAL ESTATE/RESURFACE              </v>
      </c>
      <c r="J243" t="str">
        <f t="shared" si="98"/>
        <v>USH 008</v>
      </c>
      <c r="K243" t="str">
        <f>CLEAN("PRICE                         ")</f>
        <v xml:space="preserve">PRICE                         </v>
      </c>
      <c r="L243" t="str">
        <f>CLEAN("HAWKINS - PRENTICE                 ")</f>
        <v xml:space="preserve">HAWKINS - PRENTICE                 </v>
      </c>
      <c r="M243" t="str">
        <f>CLEAN("RUSK CO LINE TO JUMP RIVER BRIDGE  ")</f>
        <v xml:space="preserve">RUSK CO LINE TO JUMP RIVER BRIDGE  </v>
      </c>
      <c r="N243">
        <v>10.852</v>
      </c>
      <c r="O243" t="str">
        <f t="shared" si="95"/>
        <v xml:space="preserve">          </v>
      </c>
      <c r="P243" t="str">
        <f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244" spans="1:16" x14ac:dyDescent="0.25">
      <c r="A244" t="str">
        <f t="shared" si="82"/>
        <v>10</v>
      </c>
      <c r="B244" t="str">
        <f>CLEAN("24")</f>
        <v>24</v>
      </c>
      <c r="C244" s="1">
        <v>45909</v>
      </c>
      <c r="D244" t="str">
        <f>CLEAN("1590-12-75")</f>
        <v>1590-12-75</v>
      </c>
      <c r="E244" t="str">
        <f t="shared" ref="E244:E271" si="99">CLEAN("303  ")</f>
        <v xml:space="preserve">303  </v>
      </c>
      <c r="F244" t="str">
        <f>CLEAN("$6,000,000 - $6,999,999  ")</f>
        <v xml:space="preserve">$6,000,000 - $6,999,999  </v>
      </c>
      <c r="G244" t="str">
        <f>CLEAN("LET")</f>
        <v>LET</v>
      </c>
      <c r="H244" t="str">
        <f>CLEAN("LET CONSTRUCTION         ")</f>
        <v xml:space="preserve">LET CONSTRUCTION         </v>
      </c>
      <c r="I244" t="str">
        <f>CLEAN("CONST/PAVEMENT REPLACEMENT         ")</f>
        <v xml:space="preserve">CONST/PAVEMENT REPLACEMENT         </v>
      </c>
      <c r="J244" t="str">
        <f t="shared" si="98"/>
        <v>USH 008</v>
      </c>
      <c r="K244" t="str">
        <f>CLEAN("ONEIDA                        ")</f>
        <v xml:space="preserve">ONEIDA                        </v>
      </c>
      <c r="L244" t="str">
        <f>CLEAN("RHINELANDER - MONICO               ")</f>
        <v xml:space="preserve">RHINELANDER - MONICO               </v>
      </c>
      <c r="M244" t="str">
        <f>CLEAN("STH 47 TO STH 17 NORTH             ")</f>
        <v xml:space="preserve">STH 47 TO STH 17 NORTH             </v>
      </c>
      <c r="N244">
        <v>2.99</v>
      </c>
      <c r="O244" t="str">
        <f t="shared" si="95"/>
        <v xml:space="preserve">          </v>
      </c>
      <c r="P244" t="str">
        <f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245" spans="1:16" x14ac:dyDescent="0.25">
      <c r="A245" t="str">
        <f t="shared" si="82"/>
        <v>10</v>
      </c>
      <c r="B245" t="str">
        <f>CLEAN("24")</f>
        <v>24</v>
      </c>
      <c r="C245" s="1">
        <v>45925</v>
      </c>
      <c r="D245" t="str">
        <f>CLEAN("1590-19-20")</f>
        <v>1590-19-20</v>
      </c>
      <c r="E245" t="str">
        <f t="shared" si="99"/>
        <v xml:space="preserve">303  </v>
      </c>
      <c r="F245" t="str">
        <f>CLEAN("$0 - $99,999             ")</f>
        <v xml:space="preserve">$0 - $99,999             </v>
      </c>
      <c r="G245" t="str">
        <f>CLEAN("R/E")</f>
        <v>R/E</v>
      </c>
      <c r="H245" t="str">
        <f>CLEAN("NONLET CONSTR/REAL ESTATE")</f>
        <v>NONLET CONSTR/REAL ESTATE</v>
      </c>
      <c r="I245" t="str">
        <f>CLEAN("REAL ESTATE/RESURFACE              ")</f>
        <v xml:space="preserve">REAL ESTATE/RESURFACE              </v>
      </c>
      <c r="J245" t="str">
        <f t="shared" si="98"/>
        <v>USH 008</v>
      </c>
      <c r="K245" t="str">
        <f>CLEAN("FOREST                        ")</f>
        <v xml:space="preserve">FOREST                        </v>
      </c>
      <c r="L245" t="str">
        <f>CLEAN("LAONA - GOODMAN                    ")</f>
        <v xml:space="preserve">LAONA - GOODMAN                    </v>
      </c>
      <c r="M245" t="str">
        <f>CLEAN("S JCT STH 32 TO PESHTIGO RVR BRIDGE")</f>
        <v>S JCT STH 32 TO PESHTIGO RVR BRIDGE</v>
      </c>
      <c r="N245">
        <v>7.43</v>
      </c>
      <c r="O245" t="str">
        <f t="shared" si="95"/>
        <v xml:space="preserve">          </v>
      </c>
      <c r="P245" t="str">
        <f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246" spans="1:16" x14ac:dyDescent="0.25">
      <c r="A246" t="str">
        <f t="shared" si="82"/>
        <v>10</v>
      </c>
      <c r="B246" t="str">
        <f>CLEAN("24")</f>
        <v>24</v>
      </c>
      <c r="C246" s="1">
        <v>45881</v>
      </c>
      <c r="D246" t="str">
        <f>CLEAN("1600-29-71")</f>
        <v>1600-29-71</v>
      </c>
      <c r="E246" t="str">
        <f t="shared" si="99"/>
        <v xml:space="preserve">303  </v>
      </c>
      <c r="F246" t="str">
        <f>CLEAN("$7,000,000 - $7,999,999  ")</f>
        <v xml:space="preserve">$7,000,000 - $7,999,999  </v>
      </c>
      <c r="G246" t="str">
        <f>CLEAN("LET")</f>
        <v>LET</v>
      </c>
      <c r="H246" t="str">
        <f>CLEAN("LET CONSTRUCTION         ")</f>
        <v xml:space="preserve">LET CONSTRUCTION         </v>
      </c>
      <c r="I246" t="str">
        <f>CLEAN("CONST/RESURFACE                    ")</f>
        <v xml:space="preserve">CONST/RESURFACE                    </v>
      </c>
      <c r="J246" t="str">
        <f>CLEAN("USH 045")</f>
        <v>USH 045</v>
      </c>
      <c r="K246" t="str">
        <f>CLEAN("ONEIDA                        ")</f>
        <v xml:space="preserve">ONEIDA                        </v>
      </c>
      <c r="L246" t="str">
        <f>CLEAN("MONICO - EAGLE RIVER               ")</f>
        <v xml:space="preserve">MONICO - EAGLE RIVER               </v>
      </c>
      <c r="M246" t="str">
        <f>CLEAN("USH 8 TO STH 32                    ")</f>
        <v xml:space="preserve">USH 8 TO STH 32                    </v>
      </c>
      <c r="N246">
        <v>16.329999999999998</v>
      </c>
      <c r="O246" t="str">
        <f t="shared" si="95"/>
        <v xml:space="preserve">          </v>
      </c>
      <c r="P246" t="str">
        <f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247" spans="1:16" x14ac:dyDescent="0.25">
      <c r="A247" t="str">
        <f t="shared" si="82"/>
        <v>10</v>
      </c>
      <c r="B247" t="str">
        <f>CLEAN("25")</f>
        <v>25</v>
      </c>
      <c r="C247" s="1">
        <v>45972</v>
      </c>
      <c r="D247" t="str">
        <f>CLEAN("1610-00-81")</f>
        <v>1610-00-81</v>
      </c>
      <c r="E247" t="str">
        <f t="shared" si="99"/>
        <v xml:space="preserve">303  </v>
      </c>
      <c r="F247" t="str">
        <f>CLEAN("$2,000,000 - $2,999,999  ")</f>
        <v xml:space="preserve">$2,000,000 - $2,999,999  </v>
      </c>
      <c r="G247" t="str">
        <f>CLEAN("LET")</f>
        <v>LET</v>
      </c>
      <c r="H247" t="str">
        <f>CLEAN("LET CONSTRUCTION         ")</f>
        <v xml:space="preserve">LET CONSTRUCTION         </v>
      </c>
      <c r="I247" t="str">
        <f>CLEAN("CONSTRUCTION/BRRHB &amp; CULVERT WORK  ")</f>
        <v xml:space="preserve">CONSTRUCTION/BRRHB &amp; CULVERT WORK  </v>
      </c>
      <c r="J247" t="str">
        <f>CLEAN("STH 013")</f>
        <v>STH 013</v>
      </c>
      <c r="K247" t="str">
        <f>CLEAN("ASHLAND                       ")</f>
        <v xml:space="preserve">ASHLAND                       </v>
      </c>
      <c r="L247" t="str">
        <f>CLEAN("PARK FALLS - MELLEN                ")</f>
        <v xml:space="preserve">PARK FALLS - MELLEN                </v>
      </c>
      <c r="M247" t="str">
        <f>CLEAN("PRICE CO LN TO MORSE RD            ")</f>
        <v xml:space="preserve">PRICE CO LN TO MORSE RD            </v>
      </c>
      <c r="N247">
        <v>17.173999999999999</v>
      </c>
      <c r="O247" t="str">
        <f t="shared" si="95"/>
        <v xml:space="preserve">          </v>
      </c>
      <c r="P247" t="str">
        <f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248" spans="1:16" x14ac:dyDescent="0.25">
      <c r="A248" t="str">
        <f t="shared" si="82"/>
        <v>10</v>
      </c>
      <c r="B248" t="str">
        <f>CLEAN("25")</f>
        <v>25</v>
      </c>
      <c r="C248" s="1">
        <v>45909</v>
      </c>
      <c r="D248" t="str">
        <f>CLEAN("1610-02-72")</f>
        <v>1610-02-72</v>
      </c>
      <c r="E248" t="str">
        <f t="shared" si="99"/>
        <v xml:space="preserve">303  </v>
      </c>
      <c r="F248" t="str">
        <f>CLEAN("$750,000 - $999,999      ")</f>
        <v xml:space="preserve">$750,000 - $999,999      </v>
      </c>
      <c r="G248" t="str">
        <f>CLEAN("LET")</f>
        <v>LET</v>
      </c>
      <c r="H248" t="str">
        <f>CLEAN("LET CONSTRUCTION         ")</f>
        <v xml:space="preserve">LET CONSTRUCTION         </v>
      </c>
      <c r="I248" t="str">
        <f>CLEAN("CONSTRUCTION/BRRHB/DECK REPLACEMENT")</f>
        <v>CONSTRUCTION/BRRHB/DECK REPLACEMENT</v>
      </c>
      <c r="J248" t="str">
        <f>CLEAN("STH 013")</f>
        <v>STH 013</v>
      </c>
      <c r="K248" t="str">
        <f>CLEAN("TAYLOR                        ")</f>
        <v xml:space="preserve">TAYLOR                        </v>
      </c>
      <c r="L248" t="str">
        <f>CLEAN("ABBOTSFORD - MEDFORD               ")</f>
        <v xml:space="preserve">ABBOTSFORD - MEDFORD               </v>
      </c>
      <c r="M248" t="str">
        <f>CLEAN("LITTLE BLACK RIVER BRIDGE B-60-0012")</f>
        <v>LITTLE BLACK RIVER BRIDGE B-60-0012</v>
      </c>
      <c r="N248">
        <v>4.7E-2</v>
      </c>
      <c r="O248" t="str">
        <f t="shared" si="95"/>
        <v xml:space="preserve">          </v>
      </c>
      <c r="P248" t="str">
        <f>CLEAN("SHR BRIDGES                                                                                         ")</f>
        <v xml:space="preserve">SHR BRIDGES                                                                                         </v>
      </c>
    </row>
    <row r="249" spans="1:16" x14ac:dyDescent="0.25">
      <c r="A249" t="str">
        <f t="shared" si="82"/>
        <v>10</v>
      </c>
      <c r="B249" t="str">
        <f>CLEAN("25")</f>
        <v>25</v>
      </c>
      <c r="C249" s="1">
        <v>45944</v>
      </c>
      <c r="D249" t="str">
        <f>CLEAN("1610-02-73")</f>
        <v>1610-02-73</v>
      </c>
      <c r="E249" t="str">
        <f t="shared" si="99"/>
        <v xml:space="preserve">303  </v>
      </c>
      <c r="F249" t="str">
        <f>CLEAN("$1,000,000 - $1,999,999  ")</f>
        <v xml:space="preserve">$1,000,000 - $1,999,999  </v>
      </c>
      <c r="G249" t="str">
        <f>CLEAN("LET")</f>
        <v>LET</v>
      </c>
      <c r="H249" t="str">
        <f>CLEAN("LET CONSTRUCTION         ")</f>
        <v xml:space="preserve">LET CONSTRUCTION         </v>
      </c>
      <c r="I249" t="str">
        <f>CLEAN("CONSTRUCTION/BRIDGE REPLACEMENT    ")</f>
        <v xml:space="preserve">CONSTRUCTION/BRIDGE REPLACEMENT    </v>
      </c>
      <c r="J249" t="str">
        <f>CLEAN("STH 013")</f>
        <v>STH 013</v>
      </c>
      <c r="K249" t="str">
        <f>CLEAN("CLARK                         ")</f>
        <v xml:space="preserve">CLARK                         </v>
      </c>
      <c r="L249" t="str">
        <f>CLEAN("ABBOTSFORD - MEDFORD               ")</f>
        <v xml:space="preserve">ABBOTSFORD - MEDFORD               </v>
      </c>
      <c r="M249" t="str">
        <f>CLEAN("PORKY CREEK B-10-0250 &amp; B-10-0251  ")</f>
        <v xml:space="preserve">PORKY CREEK B-10-0250 &amp; B-10-0251  </v>
      </c>
      <c r="N249">
        <v>3.7999999999999999E-2</v>
      </c>
      <c r="O249" t="str">
        <f t="shared" si="95"/>
        <v xml:space="preserve">          </v>
      </c>
      <c r="P249" t="str">
        <f t="shared" ref="P249:P254" si="100"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250" spans="1:16" x14ac:dyDescent="0.25">
      <c r="A250" t="str">
        <f t="shared" si="82"/>
        <v>10</v>
      </c>
      <c r="B250" t="str">
        <f>CLEAN("24")</f>
        <v>24</v>
      </c>
      <c r="C250" s="1">
        <v>46091</v>
      </c>
      <c r="D250" t="str">
        <f>CLEAN("1620-02-77")</f>
        <v>1620-02-77</v>
      </c>
      <c r="E250" t="str">
        <f t="shared" si="99"/>
        <v xml:space="preserve">303  </v>
      </c>
      <c r="F250" t="str">
        <f>CLEAN("$1,000,000 - $1,999,999  ")</f>
        <v xml:space="preserve">$1,000,000 - $1,999,999  </v>
      </c>
      <c r="G250" t="str">
        <f>CLEAN("LET")</f>
        <v>LET</v>
      </c>
      <c r="H250" t="str">
        <f>CLEAN("LET CONSTRUCTION         ")</f>
        <v xml:space="preserve">LET CONSTRUCTION         </v>
      </c>
      <c r="I250" t="str">
        <f>CLEAN("CONSTR/RESURFACE                   ")</f>
        <v xml:space="preserve">CONSTR/RESURFACE                   </v>
      </c>
      <c r="J250" t="str">
        <f>CLEAN("STH 080")</f>
        <v>STH 080</v>
      </c>
      <c r="K250" t="str">
        <f>CLEAN("WOOD                          ")</f>
        <v xml:space="preserve">WOOD                          </v>
      </c>
      <c r="L250" t="str">
        <f>CLEAN("C OF PITTSVILLE                    ")</f>
        <v xml:space="preserve">C OF PITTSVILLE                    </v>
      </c>
      <c r="M250" t="str">
        <f>CLEAN("POPLAR STREET TO STH 73            ")</f>
        <v xml:space="preserve">POPLAR STREET TO STH 73            </v>
      </c>
      <c r="N250">
        <v>1.617</v>
      </c>
      <c r="O250" t="str">
        <f>CLEAN("1520-00-74")</f>
        <v>1520-00-74</v>
      </c>
      <c r="P250" t="str">
        <f t="shared" si="100"/>
        <v xml:space="preserve">STATE 3R                                                                                            </v>
      </c>
    </row>
    <row r="251" spans="1:16" x14ac:dyDescent="0.25">
      <c r="A251" t="str">
        <f t="shared" si="82"/>
        <v>10</v>
      </c>
      <c r="B251" t="str">
        <f t="shared" ref="B251:B271" si="101">CLEAN("21")</f>
        <v>21</v>
      </c>
      <c r="C251" s="1">
        <v>46078</v>
      </c>
      <c r="D251" t="str">
        <f>CLEAN("1620-05-21")</f>
        <v>1620-05-21</v>
      </c>
      <c r="E251" t="str">
        <f t="shared" si="99"/>
        <v xml:space="preserve">303  </v>
      </c>
      <c r="F251" t="str">
        <f>CLEAN("$0 - $99,999             ")</f>
        <v xml:space="preserve">$0 - $99,999             </v>
      </c>
      <c r="G251" t="str">
        <f>CLEAN("R/E")</f>
        <v>R/E</v>
      </c>
      <c r="H251" t="str">
        <f>CLEAN("NONLET CONSTR/REAL ESTATE")</f>
        <v>NONLET CONSTR/REAL ESTATE</v>
      </c>
      <c r="I251" t="str">
        <f>CLEAN("RE/ 1620-05-71/ RSRF               ")</f>
        <v xml:space="preserve">RE/ 1620-05-71/ RSRF               </v>
      </c>
      <c r="J251" t="str">
        <f>CLEAN("STH 080")</f>
        <v>STH 080</v>
      </c>
      <c r="K251" t="str">
        <f>CLEAN("JUNEAU                        ")</f>
        <v xml:space="preserve">JUNEAU                        </v>
      </c>
      <c r="L251" t="str">
        <f>CLEAN("NEW LISBON - NECEDAH               ")</f>
        <v xml:space="preserve">NEW LISBON - NECEDAH               </v>
      </c>
      <c r="M251" t="str">
        <f>CLEAN("STH 58 TO WCL RR                   ")</f>
        <v xml:space="preserve">STH 58 TO WCL RR                   </v>
      </c>
      <c r="N251">
        <v>3.234</v>
      </c>
      <c r="O251" t="str">
        <f>CLEAN("          ")</f>
        <v xml:space="preserve">          </v>
      </c>
      <c r="P251" t="str">
        <f t="shared" si="100"/>
        <v xml:space="preserve">STATE 3R                                                                                            </v>
      </c>
    </row>
    <row r="252" spans="1:16" x14ac:dyDescent="0.25">
      <c r="A252" t="str">
        <f t="shared" si="82"/>
        <v>10</v>
      </c>
      <c r="B252" t="str">
        <f t="shared" si="101"/>
        <v>21</v>
      </c>
      <c r="C252" s="1">
        <v>46167</v>
      </c>
      <c r="D252" t="str">
        <f>CLEAN("1630-03-25")</f>
        <v>1630-03-25</v>
      </c>
      <c r="E252" t="str">
        <f t="shared" si="99"/>
        <v xml:space="preserve">303  </v>
      </c>
      <c r="F252" t="str">
        <f>CLEAN("$0 - $99,999             ")</f>
        <v xml:space="preserve">$0 - $99,999             </v>
      </c>
      <c r="G252" t="str">
        <f>CLEAN("R/E")</f>
        <v>R/E</v>
      </c>
      <c r="H252" t="str">
        <f>CLEAN("NONLET CONSTR/REAL ESTATE")</f>
        <v>NONLET CONSTR/REAL ESTATE</v>
      </c>
      <c r="I252" t="str">
        <f>CLEAN("RE OPS/ 1630-03-75 / RSRF30        ")</f>
        <v xml:space="preserve">RE OPS/ 1630-03-75 / RSRF30        </v>
      </c>
      <c r="J252" t="str">
        <f>CLEAN("USH 053")</f>
        <v>USH 053</v>
      </c>
      <c r="K252" t="str">
        <f>CLEAN("LA CROSSE                     ")</f>
        <v xml:space="preserve">LA CROSSE                     </v>
      </c>
      <c r="L252" t="str">
        <f>CLEAN("LA CROSSE - GALESVILLE             ")</f>
        <v xml:space="preserve">LA CROSSE - GALESVILLE             </v>
      </c>
      <c r="M252" t="str">
        <f>CLEAN("HSIP INTERSECTION IMPROVEMENTS     ")</f>
        <v xml:space="preserve">HSIP INTERSECTION IMPROVEMENTS     </v>
      </c>
      <c r="N252">
        <v>1.073</v>
      </c>
      <c r="O252" t="str">
        <f>CLEAN("          ")</f>
        <v xml:space="preserve">          </v>
      </c>
      <c r="P252" t="str">
        <f t="shared" si="100"/>
        <v xml:space="preserve">STATE 3R                                                                                            </v>
      </c>
    </row>
    <row r="253" spans="1:16" x14ac:dyDescent="0.25">
      <c r="A253" t="str">
        <f t="shared" si="82"/>
        <v>10</v>
      </c>
      <c r="B253" t="str">
        <f t="shared" si="101"/>
        <v>21</v>
      </c>
      <c r="C253" s="1">
        <v>46000</v>
      </c>
      <c r="D253" t="str">
        <f>CLEAN("1640-03-73")</f>
        <v>1640-03-73</v>
      </c>
      <c r="E253" t="str">
        <f t="shared" si="99"/>
        <v xml:space="preserve">303  </v>
      </c>
      <c r="F253" t="str">
        <f>CLEAN("$9,000,000 - $9,999,999  ")</f>
        <v xml:space="preserve">$9,000,000 - $9,999,999  </v>
      </c>
      <c r="G253" t="str">
        <f t="shared" ref="G253:G263" si="102">CLEAN("LET")</f>
        <v>LET</v>
      </c>
      <c r="H253" t="str">
        <f t="shared" ref="H253:H263" si="103">CLEAN("LET CONSTRUCTION         ")</f>
        <v xml:space="preserve">LET CONSTRUCTION         </v>
      </c>
      <c r="I253" t="str">
        <f>CLEAN("CONST/PVRPLA                       ")</f>
        <v xml:space="preserve">CONST/PVRPLA                       </v>
      </c>
      <c r="J253" t="str">
        <f>CLEAN("USH 014")</f>
        <v>USH 014</v>
      </c>
      <c r="K253" t="str">
        <f>CLEAN("RICHLAND                      ")</f>
        <v xml:space="preserve">RICHLAND                      </v>
      </c>
      <c r="L253" t="str">
        <f>CLEAN("RICHLAND CENTER - SPRING GREEN     ")</f>
        <v xml:space="preserve">RICHLAND CENTER - SPRING GREEN     </v>
      </c>
      <c r="M253" t="str">
        <f>CLEAN("BOHMANN DRIVE TO CTH O             ")</f>
        <v xml:space="preserve">BOHMANN DRIVE TO CTH O             </v>
      </c>
      <c r="N253">
        <v>1.6060000000000001</v>
      </c>
      <c r="O253" t="str">
        <f>CLEAN("1640-03-78")</f>
        <v>1640-03-78</v>
      </c>
      <c r="P253" t="str">
        <f t="shared" si="100"/>
        <v xml:space="preserve">STATE 3R                                                                                            </v>
      </c>
    </row>
    <row r="254" spans="1:16" x14ac:dyDescent="0.25">
      <c r="A254" t="str">
        <f t="shared" si="82"/>
        <v>10</v>
      </c>
      <c r="B254" t="str">
        <f t="shared" si="101"/>
        <v>21</v>
      </c>
      <c r="C254" s="1">
        <v>46000</v>
      </c>
      <c r="D254" t="str">
        <f>CLEAN("1640-03-78")</f>
        <v>1640-03-78</v>
      </c>
      <c r="E254" t="str">
        <f t="shared" si="99"/>
        <v xml:space="preserve">303  </v>
      </c>
      <c r="F254" t="str">
        <f>CLEAN("$1,000,000 - $1,999,999  ")</f>
        <v xml:space="preserve">$1,000,000 - $1,999,999  </v>
      </c>
      <c r="G254" t="str">
        <f t="shared" si="102"/>
        <v>LET</v>
      </c>
      <c r="H254" t="str">
        <f t="shared" si="103"/>
        <v xml:space="preserve">LET CONSTRUCTION         </v>
      </c>
      <c r="I254" t="str">
        <f>CLEAN("CONST/PAV'T REPAIR/PSRS20          ")</f>
        <v xml:space="preserve">CONST/PAV'T REPAIR/PSRS20          </v>
      </c>
      <c r="J254" t="str">
        <f>CLEAN("USH 014")</f>
        <v>USH 014</v>
      </c>
      <c r="K254" t="str">
        <f>CLEAN("RICHLAND                      ")</f>
        <v xml:space="preserve">RICHLAND                      </v>
      </c>
      <c r="L254" t="str">
        <f>CLEAN("C RICHLAND CENTER, USH 14          ")</f>
        <v xml:space="preserve">C RICHLAND CENTER, USH 14          </v>
      </c>
      <c r="M254" t="str">
        <f>CLEAN("STH 80 TO BOHMANN DRIVE            ")</f>
        <v xml:space="preserve">STH 80 TO BOHMANN DRIVE            </v>
      </c>
      <c r="N254">
        <v>0.74099999999999999</v>
      </c>
      <c r="O254" t="str">
        <f>CLEAN("1640-03-73")</f>
        <v>1640-03-73</v>
      </c>
      <c r="P254" t="str">
        <f t="shared" si="100"/>
        <v xml:space="preserve">STATE 3R                                                                                            </v>
      </c>
    </row>
    <row r="255" spans="1:16" x14ac:dyDescent="0.25">
      <c r="A255" t="str">
        <f t="shared" ref="A255:A318" si="104">CLEAN("10")</f>
        <v>10</v>
      </c>
      <c r="B255" t="str">
        <f t="shared" si="101"/>
        <v>21</v>
      </c>
      <c r="C255" s="1">
        <v>46091</v>
      </c>
      <c r="D255" t="str">
        <f>CLEAN("1660-02-73")</f>
        <v>1660-02-73</v>
      </c>
      <c r="E255" t="str">
        <f t="shared" si="99"/>
        <v xml:space="preserve">303  </v>
      </c>
      <c r="F255" t="str">
        <f>CLEAN("$2,000,000 - $2,999,999  ")</f>
        <v xml:space="preserve">$2,000,000 - $2,999,999  </v>
      </c>
      <c r="G255" t="str">
        <f t="shared" si="102"/>
        <v>LET</v>
      </c>
      <c r="H255" t="str">
        <f t="shared" si="103"/>
        <v xml:space="preserve">LET CONSTRUCTION         </v>
      </c>
      <c r="I255" t="str">
        <f>CLEAN("CONST/RECST/RAB                    ")</f>
        <v xml:space="preserve">CONST/RECST/RAB                    </v>
      </c>
      <c r="J255" t="str">
        <f t="shared" ref="J255:J264" si="105">CLEAN("USH 018")</f>
        <v>USH 018</v>
      </c>
      <c r="K255" t="str">
        <f>CLEAN("CRAWFORD                      ")</f>
        <v xml:space="preserve">CRAWFORD                      </v>
      </c>
      <c r="L255" t="str">
        <f>CLEAN("MARQUETTE - PRAIRIE DU CHIEN       ")</f>
        <v xml:space="preserve">MARQUETTE - PRAIRIE DU CHIEN       </v>
      </c>
      <c r="M255" t="str">
        <f>CLEAN("MAIN STREET INTERSECTION           ")</f>
        <v xml:space="preserve">MAIN STREET INTERSECTION           </v>
      </c>
      <c r="N255">
        <v>0.16700000000000001</v>
      </c>
      <c r="O255" t="str">
        <f>CLEAN("1660-02-75")</f>
        <v>1660-02-75</v>
      </c>
      <c r="P255" t="str">
        <f>CLEAN("SAFETY (REGULAR HSIP)                                                                               ")</f>
        <v xml:space="preserve">SAFETY (REGULAR HSIP)                                                                               </v>
      </c>
    </row>
    <row r="256" spans="1:16" x14ac:dyDescent="0.25">
      <c r="A256" t="str">
        <f t="shared" si="104"/>
        <v>10</v>
      </c>
      <c r="B256" t="str">
        <f t="shared" si="101"/>
        <v>21</v>
      </c>
      <c r="C256" s="1">
        <v>46091</v>
      </c>
      <c r="D256" t="str">
        <f>CLEAN("1660-02-73")</f>
        <v>1660-02-73</v>
      </c>
      <c r="E256" t="str">
        <f t="shared" si="99"/>
        <v xml:space="preserve">303  </v>
      </c>
      <c r="F256" t="str">
        <f>CLEAN("$2,000,000 - $2,999,999  ")</f>
        <v xml:space="preserve">$2,000,000 - $2,999,999  </v>
      </c>
      <c r="G256" t="str">
        <f t="shared" si="102"/>
        <v>LET</v>
      </c>
      <c r="H256" t="str">
        <f t="shared" si="103"/>
        <v xml:space="preserve">LET CONSTRUCTION         </v>
      </c>
      <c r="I256" t="str">
        <f>CLEAN("CONST/RECST/RAB                    ")</f>
        <v xml:space="preserve">CONST/RECST/RAB                    </v>
      </c>
      <c r="J256" t="str">
        <f t="shared" si="105"/>
        <v>USH 018</v>
      </c>
      <c r="K256" t="str">
        <f>CLEAN("CRAWFORD                      ")</f>
        <v xml:space="preserve">CRAWFORD                      </v>
      </c>
      <c r="L256" t="str">
        <f>CLEAN("MARQUETTE - PRAIRIE DU CHIEN       ")</f>
        <v xml:space="preserve">MARQUETTE - PRAIRIE DU CHIEN       </v>
      </c>
      <c r="M256" t="str">
        <f>CLEAN("MAIN STREET INTERSECTION           ")</f>
        <v xml:space="preserve">MAIN STREET INTERSECTION           </v>
      </c>
      <c r="N256">
        <v>0.16700000000000001</v>
      </c>
      <c r="O256" t="str">
        <f>CLEAN("1660-02-75")</f>
        <v>1660-02-75</v>
      </c>
      <c r="P256" t="str">
        <f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257" spans="1:16" x14ac:dyDescent="0.25">
      <c r="A257" t="str">
        <f t="shared" si="104"/>
        <v>10</v>
      </c>
      <c r="B257" t="str">
        <f t="shared" si="101"/>
        <v>21</v>
      </c>
      <c r="C257" s="1">
        <v>46091</v>
      </c>
      <c r="D257" t="str">
        <f>CLEAN("1660-02-75")</f>
        <v>1660-02-75</v>
      </c>
      <c r="E257" t="str">
        <f t="shared" si="99"/>
        <v xml:space="preserve">303  </v>
      </c>
      <c r="F257" t="str">
        <f>CLEAN("$250,000 - $499,999      ")</f>
        <v xml:space="preserve">$250,000 - $499,999      </v>
      </c>
      <c r="G257" t="str">
        <f t="shared" si="102"/>
        <v>LET</v>
      </c>
      <c r="H257" t="str">
        <f t="shared" si="103"/>
        <v xml:space="preserve">LET CONSTRUCTION         </v>
      </c>
      <c r="I257" t="str">
        <f>CLEAN("CONST/WATER &amp; SANITARY SEWER/RECST ")</f>
        <v xml:space="preserve">CONST/WATER &amp; SANITARY SEWER/RECST </v>
      </c>
      <c r="J257" t="str">
        <f t="shared" si="105"/>
        <v>USH 018</v>
      </c>
      <c r="K257" t="str">
        <f>CLEAN("CRAWFORD                      ")</f>
        <v xml:space="preserve">CRAWFORD                      </v>
      </c>
      <c r="L257" t="str">
        <f>CLEAN("MARQUETTE - PRAIRIE DU CHIEN       ")</f>
        <v xml:space="preserve">MARQUETTE - PRAIRIE DU CHIEN       </v>
      </c>
      <c r="M257" t="str">
        <f>CLEAN("MAIN STREET INTERSECTION           ")</f>
        <v xml:space="preserve">MAIN STREET INTERSECTION           </v>
      </c>
      <c r="N257">
        <v>0.16700000000000001</v>
      </c>
      <c r="O257" t="str">
        <f>CLEAN("1660-02-73")</f>
        <v>1660-02-73</v>
      </c>
      <c r="P257" t="str">
        <f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258" spans="1:16" x14ac:dyDescent="0.25">
      <c r="A258" t="str">
        <f t="shared" si="104"/>
        <v>10</v>
      </c>
      <c r="B258" t="str">
        <f t="shared" si="101"/>
        <v>21</v>
      </c>
      <c r="C258" s="1">
        <v>46000</v>
      </c>
      <c r="D258" t="str">
        <f>CLEAN("1662-00-77")</f>
        <v>1662-00-77</v>
      </c>
      <c r="E258" t="str">
        <f t="shared" si="99"/>
        <v xml:space="preserve">303  </v>
      </c>
      <c r="F258" t="str">
        <f t="shared" ref="F258:F263" si="106">CLEAN("$1,000,000 - $1,999,999  ")</f>
        <v xml:space="preserve">$1,000,000 - $1,999,999  </v>
      </c>
      <c r="G258" t="str">
        <f t="shared" si="102"/>
        <v>LET</v>
      </c>
      <c r="H258" t="str">
        <f t="shared" si="103"/>
        <v xml:space="preserve">LET CONSTRUCTION         </v>
      </c>
      <c r="I258" t="str">
        <f t="shared" ref="I258:I263" si="107">CLEAN("CONST/LEFT TURN LNS/MONOTUBES/MISC ")</f>
        <v xml:space="preserve">CONST/LEFT TURN LNS/MONOTUBES/MISC </v>
      </c>
      <c r="J258" t="str">
        <f t="shared" si="105"/>
        <v>USH 018</v>
      </c>
      <c r="K258" t="str">
        <f t="shared" ref="K258:K263" si="108">CLEAN("IOWA                          ")</f>
        <v xml:space="preserve">IOWA                          </v>
      </c>
      <c r="L258" t="str">
        <f t="shared" ref="L258:L263" si="109">CLEAN("FENNIMORE - DODGEVILLE             ")</f>
        <v xml:space="preserve">FENNIMORE - DODGEVILLE             </v>
      </c>
      <c r="M258" t="str">
        <f>CLEAN("STH 23 INTERSECTION                ")</f>
        <v xml:space="preserve">STH 23 INTERSECTION                </v>
      </c>
      <c r="N258">
        <v>0.26500000000000001</v>
      </c>
      <c r="O258" t="str">
        <f>CLEAN("1662-00-78")</f>
        <v>1662-00-78</v>
      </c>
      <c r="P258" t="str">
        <f>CLEAN("SAFETY (REGULAR HSIP)                                                                               ")</f>
        <v xml:space="preserve">SAFETY (REGULAR HSIP)                                                                               </v>
      </c>
    </row>
    <row r="259" spans="1:16" x14ac:dyDescent="0.25">
      <c r="A259" t="str">
        <f t="shared" si="104"/>
        <v>10</v>
      </c>
      <c r="B259" t="str">
        <f t="shared" si="101"/>
        <v>21</v>
      </c>
      <c r="C259" s="1">
        <v>46000</v>
      </c>
      <c r="D259" t="str">
        <f>CLEAN("1662-00-77")</f>
        <v>1662-00-77</v>
      </c>
      <c r="E259" t="str">
        <f t="shared" si="99"/>
        <v xml:space="preserve">303  </v>
      </c>
      <c r="F259" t="str">
        <f t="shared" si="106"/>
        <v xml:space="preserve">$1,000,000 - $1,999,999  </v>
      </c>
      <c r="G259" t="str">
        <f t="shared" si="102"/>
        <v>LET</v>
      </c>
      <c r="H259" t="str">
        <f t="shared" si="103"/>
        <v xml:space="preserve">LET CONSTRUCTION         </v>
      </c>
      <c r="I259" t="str">
        <f t="shared" si="107"/>
        <v xml:space="preserve">CONST/LEFT TURN LNS/MONOTUBES/MISC </v>
      </c>
      <c r="J259" t="str">
        <f t="shared" si="105"/>
        <v>USH 018</v>
      </c>
      <c r="K259" t="str">
        <f t="shared" si="108"/>
        <v xml:space="preserve">IOWA                          </v>
      </c>
      <c r="L259" t="str">
        <f t="shared" si="109"/>
        <v xml:space="preserve">FENNIMORE - DODGEVILLE             </v>
      </c>
      <c r="M259" t="str">
        <f>CLEAN("STH 23 INTERSECTION                ")</f>
        <v xml:space="preserve">STH 23 INTERSECTION                </v>
      </c>
      <c r="N259">
        <v>0.26500000000000001</v>
      </c>
      <c r="O259" t="str">
        <f>CLEAN("1662-00-78")</f>
        <v>1662-00-78</v>
      </c>
      <c r="P259" t="str">
        <f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260" spans="1:16" x14ac:dyDescent="0.25">
      <c r="A260" t="str">
        <f t="shared" si="104"/>
        <v>10</v>
      </c>
      <c r="B260" t="str">
        <f t="shared" si="101"/>
        <v>21</v>
      </c>
      <c r="C260" s="1">
        <v>46000</v>
      </c>
      <c r="D260" t="str">
        <f>CLEAN("1662-00-77")</f>
        <v>1662-00-77</v>
      </c>
      <c r="E260" t="str">
        <f t="shared" si="99"/>
        <v xml:space="preserve">303  </v>
      </c>
      <c r="F260" t="str">
        <f t="shared" si="106"/>
        <v xml:space="preserve">$1,000,000 - $1,999,999  </v>
      </c>
      <c r="G260" t="str">
        <f t="shared" si="102"/>
        <v>LET</v>
      </c>
      <c r="H260" t="str">
        <f t="shared" si="103"/>
        <v xml:space="preserve">LET CONSTRUCTION         </v>
      </c>
      <c r="I260" t="str">
        <f t="shared" si="107"/>
        <v xml:space="preserve">CONST/LEFT TURN LNS/MONOTUBES/MISC </v>
      </c>
      <c r="J260" t="str">
        <f t="shared" si="105"/>
        <v>USH 018</v>
      </c>
      <c r="K260" t="str">
        <f t="shared" si="108"/>
        <v xml:space="preserve">IOWA                          </v>
      </c>
      <c r="L260" t="str">
        <f t="shared" si="109"/>
        <v xml:space="preserve">FENNIMORE - DODGEVILLE             </v>
      </c>
      <c r="M260" t="str">
        <f>CLEAN("STH 23 INTERSECTION                ")</f>
        <v xml:space="preserve">STH 23 INTERSECTION                </v>
      </c>
      <c r="N260">
        <v>0.26500000000000001</v>
      </c>
      <c r="O260" t="str">
        <f>CLEAN("5255-01-74")</f>
        <v>5255-01-74</v>
      </c>
      <c r="P260" t="str">
        <f>CLEAN("SAFETY (REGULAR HSIP)                                                                               ")</f>
        <v xml:space="preserve">SAFETY (REGULAR HSIP)                                                                               </v>
      </c>
    </row>
    <row r="261" spans="1:16" x14ac:dyDescent="0.25">
      <c r="A261" t="str">
        <f t="shared" si="104"/>
        <v>10</v>
      </c>
      <c r="B261" t="str">
        <f t="shared" si="101"/>
        <v>21</v>
      </c>
      <c r="C261" s="1">
        <v>46000</v>
      </c>
      <c r="D261" t="str">
        <f>CLEAN("1662-00-77")</f>
        <v>1662-00-77</v>
      </c>
      <c r="E261" t="str">
        <f t="shared" si="99"/>
        <v xml:space="preserve">303  </v>
      </c>
      <c r="F261" t="str">
        <f t="shared" si="106"/>
        <v xml:space="preserve">$1,000,000 - $1,999,999  </v>
      </c>
      <c r="G261" t="str">
        <f t="shared" si="102"/>
        <v>LET</v>
      </c>
      <c r="H261" t="str">
        <f t="shared" si="103"/>
        <v xml:space="preserve">LET CONSTRUCTION         </v>
      </c>
      <c r="I261" t="str">
        <f t="shared" si="107"/>
        <v xml:space="preserve">CONST/LEFT TURN LNS/MONOTUBES/MISC </v>
      </c>
      <c r="J261" t="str">
        <f t="shared" si="105"/>
        <v>USH 018</v>
      </c>
      <c r="K261" t="str">
        <f t="shared" si="108"/>
        <v xml:space="preserve">IOWA                          </v>
      </c>
      <c r="L261" t="str">
        <f t="shared" si="109"/>
        <v xml:space="preserve">FENNIMORE - DODGEVILLE             </v>
      </c>
      <c r="M261" t="str">
        <f>CLEAN("STH 23 INTERSECTION                ")</f>
        <v xml:space="preserve">STH 23 INTERSECTION                </v>
      </c>
      <c r="N261">
        <v>0.26500000000000001</v>
      </c>
      <c r="O261" t="str">
        <f>CLEAN("5255-01-74")</f>
        <v>5255-01-74</v>
      </c>
      <c r="P261" t="str">
        <f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262" spans="1:16" x14ac:dyDescent="0.25">
      <c r="A262" t="str">
        <f t="shared" si="104"/>
        <v>10</v>
      </c>
      <c r="B262" t="str">
        <f t="shared" si="101"/>
        <v>21</v>
      </c>
      <c r="C262" s="1">
        <v>46000</v>
      </c>
      <c r="D262" t="str">
        <f>CLEAN("1662-00-78")</f>
        <v>1662-00-78</v>
      </c>
      <c r="E262" t="str">
        <f t="shared" si="99"/>
        <v xml:space="preserve">303  </v>
      </c>
      <c r="F262" t="str">
        <f t="shared" si="106"/>
        <v xml:space="preserve">$1,000,000 - $1,999,999  </v>
      </c>
      <c r="G262" t="str">
        <f t="shared" si="102"/>
        <v>LET</v>
      </c>
      <c r="H262" t="str">
        <f t="shared" si="103"/>
        <v xml:space="preserve">LET CONSTRUCTION         </v>
      </c>
      <c r="I262" t="str">
        <f t="shared" si="107"/>
        <v xml:space="preserve">CONST/LEFT TURN LNS/MONOTUBES/MISC </v>
      </c>
      <c r="J262" t="str">
        <f t="shared" si="105"/>
        <v>USH 018</v>
      </c>
      <c r="K262" t="str">
        <f t="shared" si="108"/>
        <v xml:space="preserve">IOWA                          </v>
      </c>
      <c r="L262" t="str">
        <f t="shared" si="109"/>
        <v xml:space="preserve">FENNIMORE - DODGEVILLE             </v>
      </c>
      <c r="M262" t="str">
        <f>CLEAN("JOHNS STREET INTERSECTION          ")</f>
        <v xml:space="preserve">JOHNS STREET INTERSECTION          </v>
      </c>
      <c r="N262">
        <v>0.28100000000000003</v>
      </c>
      <c r="O262" t="str">
        <f>CLEAN("1662-00-77")</f>
        <v>1662-00-77</v>
      </c>
      <c r="P262" t="str">
        <f>CLEAN("SAFETY (REGULAR HSIP)                                                                               ")</f>
        <v xml:space="preserve">SAFETY (REGULAR HSIP)                                                                               </v>
      </c>
    </row>
    <row r="263" spans="1:16" x14ac:dyDescent="0.25">
      <c r="A263" t="str">
        <f t="shared" si="104"/>
        <v>10</v>
      </c>
      <c r="B263" t="str">
        <f t="shared" si="101"/>
        <v>21</v>
      </c>
      <c r="C263" s="1">
        <v>46000</v>
      </c>
      <c r="D263" t="str">
        <f>CLEAN("1662-00-78")</f>
        <v>1662-00-78</v>
      </c>
      <c r="E263" t="str">
        <f t="shared" si="99"/>
        <v xml:space="preserve">303  </v>
      </c>
      <c r="F263" t="str">
        <f t="shared" si="106"/>
        <v xml:space="preserve">$1,000,000 - $1,999,999  </v>
      </c>
      <c r="G263" t="str">
        <f t="shared" si="102"/>
        <v>LET</v>
      </c>
      <c r="H263" t="str">
        <f t="shared" si="103"/>
        <v xml:space="preserve">LET CONSTRUCTION         </v>
      </c>
      <c r="I263" t="str">
        <f t="shared" si="107"/>
        <v xml:space="preserve">CONST/LEFT TURN LNS/MONOTUBES/MISC </v>
      </c>
      <c r="J263" t="str">
        <f t="shared" si="105"/>
        <v>USH 018</v>
      </c>
      <c r="K263" t="str">
        <f t="shared" si="108"/>
        <v xml:space="preserve">IOWA                          </v>
      </c>
      <c r="L263" t="str">
        <f t="shared" si="109"/>
        <v xml:space="preserve">FENNIMORE - DODGEVILLE             </v>
      </c>
      <c r="M263" t="str">
        <f>CLEAN("JOHNS STREET INTERSECTION          ")</f>
        <v xml:space="preserve">JOHNS STREET INTERSECTION          </v>
      </c>
      <c r="N263">
        <v>0.28100000000000003</v>
      </c>
      <c r="O263" t="str">
        <f>CLEAN("5255-01-74")</f>
        <v>5255-01-74</v>
      </c>
      <c r="P263" t="str">
        <f>CLEAN("SAFETY (REGULAR HSIP)                                                                               ")</f>
        <v xml:space="preserve">SAFETY (REGULAR HSIP)                                                                               </v>
      </c>
    </row>
    <row r="264" spans="1:16" x14ac:dyDescent="0.25">
      <c r="A264" t="str">
        <f t="shared" si="104"/>
        <v>10</v>
      </c>
      <c r="B264" t="str">
        <f t="shared" si="101"/>
        <v>21</v>
      </c>
      <c r="C264" s="1">
        <v>45894</v>
      </c>
      <c r="D264" t="str">
        <f>CLEAN("1662-01-62")</f>
        <v>1662-01-62</v>
      </c>
      <c r="E264" t="str">
        <f t="shared" si="99"/>
        <v xml:space="preserve">303  </v>
      </c>
      <c r="F264" t="str">
        <f>CLEAN("$100,000-$249,999        ")</f>
        <v xml:space="preserve">$100,000-$249,999        </v>
      </c>
      <c r="G264" t="str">
        <f>CLEAN("LFA")</f>
        <v>LFA</v>
      </c>
      <c r="H264" t="str">
        <f>CLEAN("NONLET CONSTR/REAL ESTATE")</f>
        <v>NONLET CONSTR/REAL ESTATE</v>
      </c>
      <c r="I264" t="str">
        <f>CLEAN("LFA/ PSRS40                        ")</f>
        <v xml:space="preserve">LFA/ PSRS40                        </v>
      </c>
      <c r="J264" t="str">
        <f t="shared" si="105"/>
        <v>USH 018</v>
      </c>
      <c r="K264" t="str">
        <f>CLEAN("GRANT                         ")</f>
        <v xml:space="preserve">GRANT                         </v>
      </c>
      <c r="L264" t="str">
        <f>CLEAN("PRAIRIE DU CHIEN - FENNIMORE       ")</f>
        <v xml:space="preserve">PRAIRIE DU CHIEN - FENNIMORE       </v>
      </c>
      <c r="M264" t="str">
        <f>CLEAN("DIAGONAL STREET TO USH 61          ")</f>
        <v xml:space="preserve">DIAGONAL STREET TO USH 61          </v>
      </c>
      <c r="N264">
        <v>0.219</v>
      </c>
      <c r="O264" t="str">
        <f>CLEAN("          ")</f>
        <v xml:space="preserve">          </v>
      </c>
      <c r="P264" t="str">
        <f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265" spans="1:16" x14ac:dyDescent="0.25">
      <c r="A265" t="str">
        <f t="shared" si="104"/>
        <v>10</v>
      </c>
      <c r="B265" t="str">
        <f t="shared" si="101"/>
        <v>21</v>
      </c>
      <c r="C265" s="1">
        <v>46167</v>
      </c>
      <c r="D265" t="str">
        <f>CLEAN("1670-01-20")</f>
        <v>1670-01-20</v>
      </c>
      <c r="E265" t="str">
        <f t="shared" si="99"/>
        <v xml:space="preserve">303  </v>
      </c>
      <c r="F265" t="str">
        <f>CLEAN("$0 - $99,999             ")</f>
        <v xml:space="preserve">$0 - $99,999             </v>
      </c>
      <c r="G265" t="str">
        <f>CLEAN("R/E")</f>
        <v>R/E</v>
      </c>
      <c r="H265" t="str">
        <f>CLEAN("NONLET CONSTR/REAL ESTATE")</f>
        <v>NONLET CONSTR/REAL ESTATE</v>
      </c>
      <c r="I265" t="str">
        <f>CLEAN("R/E OPERATIONS/RECST               ")</f>
        <v xml:space="preserve">R/E OPERATIONS/RECST               </v>
      </c>
      <c r="J265" t="str">
        <f>CLEAN("USH 012")</f>
        <v>USH 012</v>
      </c>
      <c r="K265" t="str">
        <f>CLEAN("SAUK                          ")</f>
        <v xml:space="preserve">SAUK                          </v>
      </c>
      <c r="L265" t="str">
        <f>CLEAN("BARABOO - SAUK CITY                ")</f>
        <v xml:space="preserve">BARABOO - SAUK CITY                </v>
      </c>
      <c r="M265" t="str">
        <f>CLEAN("SAUK PRAIRIE ROAD INTERSECTION     ")</f>
        <v xml:space="preserve">SAUK PRAIRIE ROAD INTERSECTION     </v>
      </c>
      <c r="N265">
        <v>0.34200000000000003</v>
      </c>
      <c r="O265" t="str">
        <f>CLEAN("          ")</f>
        <v xml:space="preserve">          </v>
      </c>
      <c r="P265" t="str">
        <f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266" spans="1:16" x14ac:dyDescent="0.25">
      <c r="A266" t="str">
        <f t="shared" si="104"/>
        <v>10</v>
      </c>
      <c r="B266" t="str">
        <f t="shared" si="101"/>
        <v>21</v>
      </c>
      <c r="C266" s="1">
        <v>46000</v>
      </c>
      <c r="D266" t="str">
        <f>CLEAN("1670-01-76")</f>
        <v>1670-01-76</v>
      </c>
      <c r="E266" t="str">
        <f t="shared" si="99"/>
        <v xml:space="preserve">303  </v>
      </c>
      <c r="F266" t="str">
        <f>CLEAN("$1,000,000 - $1,999,999  ")</f>
        <v xml:space="preserve">$1,000,000 - $1,999,999  </v>
      </c>
      <c r="G266" t="str">
        <f t="shared" ref="G266:G271" si="110">CLEAN("LET")</f>
        <v>LET</v>
      </c>
      <c r="H266" t="str">
        <f t="shared" ref="H266:H271" si="111">CLEAN("LET CONSTRUCTION         ")</f>
        <v xml:space="preserve">LET CONSTRUCTION         </v>
      </c>
      <c r="I266" t="str">
        <f>CLEAN("CONST/SIGNALS/LEFT TURN LANES/MISC ")</f>
        <v xml:space="preserve">CONST/SIGNALS/LEFT TURN LANES/MISC </v>
      </c>
      <c r="J266" t="str">
        <f>CLEAN("USH 012")</f>
        <v>USH 012</v>
      </c>
      <c r="K266" t="str">
        <f>CLEAN("DANE                          ")</f>
        <v xml:space="preserve">DANE                          </v>
      </c>
      <c r="L266" t="str">
        <f>CLEAN("SAUK CITY - MADISON                ")</f>
        <v xml:space="preserve">SAUK CITY - MADISON                </v>
      </c>
      <c r="M266" t="str">
        <f>CLEAN("STH 188/TETIVA ROAD INTERSECTION   ")</f>
        <v xml:space="preserve">STH 188/TETIVA ROAD INTERSECTION   </v>
      </c>
      <c r="N266">
        <v>0.24099999999999999</v>
      </c>
      <c r="O266" t="str">
        <f>CLEAN("          ")</f>
        <v xml:space="preserve">          </v>
      </c>
      <c r="P266" t="str">
        <f>CLEAN("SAFETY (REGULAR HSIP)                                                                               ")</f>
        <v xml:space="preserve">SAFETY (REGULAR HSIP)                                                                               </v>
      </c>
    </row>
    <row r="267" spans="1:16" x14ac:dyDescent="0.25">
      <c r="A267" t="str">
        <f t="shared" si="104"/>
        <v>10</v>
      </c>
      <c r="B267" t="str">
        <f t="shared" si="101"/>
        <v>21</v>
      </c>
      <c r="C267" s="1">
        <v>46217</v>
      </c>
      <c r="D267" t="str">
        <f>CLEAN("1670-01-78")</f>
        <v>1670-01-78</v>
      </c>
      <c r="E267" t="str">
        <f t="shared" si="99"/>
        <v xml:space="preserve">303  </v>
      </c>
      <c r="F267" t="str">
        <f>CLEAN("$250,000 - $499,999      ")</f>
        <v xml:space="preserve">$250,000 - $499,999      </v>
      </c>
      <c r="G267" t="str">
        <f t="shared" si="110"/>
        <v>LET</v>
      </c>
      <c r="H267" t="str">
        <f t="shared" si="111"/>
        <v xml:space="preserve">LET CONSTRUCTION         </v>
      </c>
      <c r="I267" t="str">
        <f>CLEAN("CONST/OFFSET LEFT TURN LANES/MISC  ")</f>
        <v xml:space="preserve">CONST/OFFSET LEFT TURN LANES/MISC  </v>
      </c>
      <c r="J267" t="str">
        <f>CLEAN("USH 012")</f>
        <v>USH 012</v>
      </c>
      <c r="K267" t="str">
        <f>CLEAN("SAUK                          ")</f>
        <v xml:space="preserve">SAUK                          </v>
      </c>
      <c r="L267" t="str">
        <f>CLEAN("BARABOO - SAUK CITY                ")</f>
        <v xml:space="preserve">BARABOO - SAUK CITY                </v>
      </c>
      <c r="M267" t="str">
        <f>CLEAN("CTH Z/PRAIRIE ROAD INTERSECTION    ")</f>
        <v xml:space="preserve">CTH Z/PRAIRIE ROAD INTERSECTION    </v>
      </c>
      <c r="N267">
        <v>0.11799999999999999</v>
      </c>
      <c r="O267" t="str">
        <f>CLEAN("          ")</f>
        <v xml:space="preserve">          </v>
      </c>
      <c r="P267" t="str">
        <f>CLEAN("SAFETY (REGULAR HSIP)                                                                               ")</f>
        <v xml:space="preserve">SAFETY (REGULAR HSIP)                                                                               </v>
      </c>
    </row>
    <row r="268" spans="1:16" x14ac:dyDescent="0.25">
      <c r="A268" t="str">
        <f t="shared" si="104"/>
        <v>10</v>
      </c>
      <c r="B268" t="str">
        <f t="shared" si="101"/>
        <v>21</v>
      </c>
      <c r="C268" s="1">
        <v>45972</v>
      </c>
      <c r="D268" t="str">
        <f>CLEAN("1690-04-62")</f>
        <v>1690-04-62</v>
      </c>
      <c r="E268" t="str">
        <f t="shared" si="99"/>
        <v xml:space="preserve">303  </v>
      </c>
      <c r="F268" t="str">
        <f>CLEAN("$5,000,000 - $5,999,999  ")</f>
        <v xml:space="preserve">$5,000,000 - $5,999,999  </v>
      </c>
      <c r="G268" t="str">
        <f t="shared" si="110"/>
        <v>LET</v>
      </c>
      <c r="H268" t="str">
        <f t="shared" si="111"/>
        <v xml:space="preserve">LET CONSTRUCTION         </v>
      </c>
      <c r="I268" t="str">
        <f>CLEAN("CONST/ MILL AND OVERLAY            ")</f>
        <v xml:space="preserve">CONST/ MILL AND OVERLAY            </v>
      </c>
      <c r="J268" t="str">
        <f>CLEAN("STH 069")</f>
        <v>STH 069</v>
      </c>
      <c r="K268" t="str">
        <f>CLEAN("GREEN                         ")</f>
        <v xml:space="preserve">GREEN                         </v>
      </c>
      <c r="L268" t="str">
        <f>CLEAN("MONROE - NEW GLARUS                ")</f>
        <v xml:space="preserve">MONROE - NEW GLARUS                </v>
      </c>
      <c r="M268" t="str">
        <f>CLEAN("BUSHNELL CREEK TO COW PATH LANE    ")</f>
        <v xml:space="preserve">BUSHNELL CREEK TO COW PATH LANE    </v>
      </c>
      <c r="N268">
        <v>11.590999999999999</v>
      </c>
      <c r="O268" t="str">
        <f>CLEAN("1690-04-73")</f>
        <v>1690-04-73</v>
      </c>
      <c r="P268" t="str">
        <f>CLEAN("SAFETY (REGULAR HSIP)                                                                               ")</f>
        <v xml:space="preserve">SAFETY (REGULAR HSIP)                                                                               </v>
      </c>
    </row>
    <row r="269" spans="1:16" x14ac:dyDescent="0.25">
      <c r="A269" t="str">
        <f t="shared" si="104"/>
        <v>10</v>
      </c>
      <c r="B269" t="str">
        <f t="shared" si="101"/>
        <v>21</v>
      </c>
      <c r="C269" s="1">
        <v>45972</v>
      </c>
      <c r="D269" t="str">
        <f>CLEAN("1690-04-62")</f>
        <v>1690-04-62</v>
      </c>
      <c r="E269" t="str">
        <f t="shared" si="99"/>
        <v xml:space="preserve">303  </v>
      </c>
      <c r="F269" t="str">
        <f>CLEAN("$5,000,000 - $5,999,999  ")</f>
        <v xml:space="preserve">$5,000,000 - $5,999,999  </v>
      </c>
      <c r="G269" t="str">
        <f t="shared" si="110"/>
        <v>LET</v>
      </c>
      <c r="H269" t="str">
        <f t="shared" si="111"/>
        <v xml:space="preserve">LET CONSTRUCTION         </v>
      </c>
      <c r="I269" t="str">
        <f>CLEAN("CONST/ MILL AND OVERLAY            ")</f>
        <v xml:space="preserve">CONST/ MILL AND OVERLAY            </v>
      </c>
      <c r="J269" t="str">
        <f>CLEAN("STH 069")</f>
        <v>STH 069</v>
      </c>
      <c r="K269" t="str">
        <f>CLEAN("GREEN                         ")</f>
        <v xml:space="preserve">GREEN                         </v>
      </c>
      <c r="L269" t="str">
        <f>CLEAN("MONROE - NEW GLARUS                ")</f>
        <v xml:space="preserve">MONROE - NEW GLARUS                </v>
      </c>
      <c r="M269" t="str">
        <f>CLEAN("BUSHNELL CREEK TO COW PATH LANE    ")</f>
        <v xml:space="preserve">BUSHNELL CREEK TO COW PATH LANE    </v>
      </c>
      <c r="N269">
        <v>11.590999999999999</v>
      </c>
      <c r="O269" t="str">
        <f>CLEAN("1690-04-73")</f>
        <v>1690-04-73</v>
      </c>
      <c r="P269" t="str">
        <f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270" spans="1:16" x14ac:dyDescent="0.25">
      <c r="A270" t="str">
        <f t="shared" si="104"/>
        <v>10</v>
      </c>
      <c r="B270" t="str">
        <f t="shared" si="101"/>
        <v>21</v>
      </c>
      <c r="C270" s="1">
        <v>45972</v>
      </c>
      <c r="D270" t="str">
        <f>CLEAN("1690-04-73")</f>
        <v>1690-04-73</v>
      </c>
      <c r="E270" t="str">
        <f t="shared" si="99"/>
        <v xml:space="preserve">303  </v>
      </c>
      <c r="F270" t="str">
        <f>CLEAN("$3,000,000 - $3,999,999  ")</f>
        <v xml:space="preserve">$3,000,000 - $3,999,999  </v>
      </c>
      <c r="G270" t="str">
        <f t="shared" si="110"/>
        <v>LET</v>
      </c>
      <c r="H270" t="str">
        <f t="shared" si="111"/>
        <v xml:space="preserve">LET CONSTRUCTION         </v>
      </c>
      <c r="I270" t="str">
        <f>CLEAN("CONST/IMPROVE INTERSECTIONS,B-23-23")</f>
        <v>CONST/IMPROVE INTERSECTIONS,B-23-23</v>
      </c>
      <c r="J270" t="str">
        <f>CLEAN("STH 069")</f>
        <v>STH 069</v>
      </c>
      <c r="K270" t="str">
        <f>CLEAN("GREEN                         ")</f>
        <v xml:space="preserve">GREEN                         </v>
      </c>
      <c r="L270" t="str">
        <f>CLEAN("MONROE - NEW GLARUS                ")</f>
        <v xml:space="preserve">MONROE - NEW GLARUS                </v>
      </c>
      <c r="M270" t="str">
        <f>CLEAN("WITTENWYLER RD&amp;CTH C INTERSECTIONS ")</f>
        <v xml:space="preserve">WITTENWYLER RD&amp;CTH C INTERSECTIONS </v>
      </c>
      <c r="N270">
        <v>0.93899999999999995</v>
      </c>
      <c r="O270" t="str">
        <f>CLEAN("1690-04-62")</f>
        <v>1690-04-62</v>
      </c>
      <c r="P270" t="str">
        <f>CLEAN("SAFETY (REGULAR HSIP)                                                                               ")</f>
        <v xml:space="preserve">SAFETY (REGULAR HSIP)                                                                               </v>
      </c>
    </row>
    <row r="271" spans="1:16" x14ac:dyDescent="0.25">
      <c r="A271" t="str">
        <f t="shared" si="104"/>
        <v>10</v>
      </c>
      <c r="B271" t="str">
        <f t="shared" si="101"/>
        <v>21</v>
      </c>
      <c r="C271" s="1">
        <v>45972</v>
      </c>
      <c r="D271" t="str">
        <f>CLEAN("1690-04-73")</f>
        <v>1690-04-73</v>
      </c>
      <c r="E271" t="str">
        <f t="shared" si="99"/>
        <v xml:space="preserve">303  </v>
      </c>
      <c r="F271" t="str">
        <f>CLEAN("$3,000,000 - $3,999,999  ")</f>
        <v xml:space="preserve">$3,000,000 - $3,999,999  </v>
      </c>
      <c r="G271" t="str">
        <f t="shared" si="110"/>
        <v>LET</v>
      </c>
      <c r="H271" t="str">
        <f t="shared" si="111"/>
        <v xml:space="preserve">LET CONSTRUCTION         </v>
      </c>
      <c r="I271" t="str">
        <f>CLEAN("CONST/IMPROVE INTERSECTIONS,B-23-23")</f>
        <v>CONST/IMPROVE INTERSECTIONS,B-23-23</v>
      </c>
      <c r="J271" t="str">
        <f>CLEAN("STH 069")</f>
        <v>STH 069</v>
      </c>
      <c r="K271" t="str">
        <f>CLEAN("GREEN                         ")</f>
        <v xml:space="preserve">GREEN                         </v>
      </c>
      <c r="L271" t="str">
        <f>CLEAN("MONROE - NEW GLARUS                ")</f>
        <v xml:space="preserve">MONROE - NEW GLARUS                </v>
      </c>
      <c r="M271" t="str">
        <f>CLEAN("WITTENWYLER RD&amp;CTH C INTERSECTIONS ")</f>
        <v xml:space="preserve">WITTENWYLER RD&amp;CTH C INTERSECTIONS </v>
      </c>
      <c r="N271">
        <v>0.93899999999999995</v>
      </c>
      <c r="O271" t="str">
        <f>CLEAN("1690-04-62")</f>
        <v>1690-04-62</v>
      </c>
      <c r="P271" t="str">
        <f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272" spans="1:16" x14ac:dyDescent="0.25">
      <c r="A272" t="str">
        <f t="shared" si="104"/>
        <v>10</v>
      </c>
      <c r="B272" t="str">
        <f>CLEAN("22")</f>
        <v>22</v>
      </c>
      <c r="C272" s="1">
        <v>46078</v>
      </c>
      <c r="D272" t="str">
        <f>CLEAN("1693-09-03")</f>
        <v>1693-09-03</v>
      </c>
      <c r="E272" t="str">
        <f>CLEAN("211  ")</f>
        <v xml:space="preserve">211  </v>
      </c>
      <c r="F272" t="str">
        <f>CLEAN("$10,000,000 - $10,999,999")</f>
        <v>$10,000,000 - $10,999,999</v>
      </c>
      <c r="G272" t="str">
        <f>CLEAN("TST")</f>
        <v>TST</v>
      </c>
      <c r="H272" t="str">
        <f>CLEAN("NONLET CONSTR/REAL ESTATE")</f>
        <v>NONLET CONSTR/REAL ESTATE</v>
      </c>
      <c r="I272" t="str">
        <f>CLEAN("TST/BUS PURCHASE                   ")</f>
        <v xml:space="preserve">TST/BUS PURCHASE                   </v>
      </c>
      <c r="J272" t="str">
        <f>CLEAN("NON HWY")</f>
        <v>NON HWY</v>
      </c>
      <c r="K272" t="str">
        <f>CLEAN("MILWAUKEE                     ")</f>
        <v xml:space="preserve">MILWAUKEE                     </v>
      </c>
      <c r="L272" t="str">
        <f>CLEAN("TRANSIT SYSTEM BUS REPLACEMENT     ")</f>
        <v xml:space="preserve">TRANSIT SYSTEM BUS REPLACEMENT     </v>
      </c>
      <c r="M272" t="str">
        <f>CLEAN("7 MILWAUKEE COUNTY BUSES           ")</f>
        <v xml:space="preserve">7 MILWAUKEE COUNTY BUSES           </v>
      </c>
      <c r="N272">
        <v>0</v>
      </c>
      <c r="O272" t="str">
        <f t="shared" ref="O272:O302" si="112">CLEAN("          ")</f>
        <v xml:space="preserve">          </v>
      </c>
      <c r="P272" t="str">
        <f>CLEAN("CONGESTION MITIGATION AND AIR QUALITY (CMAQ)                                                        ")</f>
        <v xml:space="preserve">CONGESTION MITIGATION AND AIR QUALITY (CMAQ)                                                        </v>
      </c>
    </row>
    <row r="273" spans="1:16" x14ac:dyDescent="0.25">
      <c r="A273" t="str">
        <f t="shared" si="104"/>
        <v>10</v>
      </c>
      <c r="B273" t="str">
        <f t="shared" ref="B273:B278" si="113">CLEAN("21")</f>
        <v>21</v>
      </c>
      <c r="C273" s="1">
        <v>45894</v>
      </c>
      <c r="D273" t="str">
        <f>CLEAN("1706-00-20")</f>
        <v>1706-00-20</v>
      </c>
      <c r="E273" t="str">
        <f t="shared" ref="E273:E279" si="114">CLEAN("303  ")</f>
        <v xml:space="preserve">303  </v>
      </c>
      <c r="F273" t="str">
        <f>CLEAN("$0 - $99,999             ")</f>
        <v xml:space="preserve">$0 - $99,999             </v>
      </c>
      <c r="G273" t="str">
        <f>CLEAN("R/E")</f>
        <v>R/E</v>
      </c>
      <c r="H273" t="str">
        <f>CLEAN("NONLET CONSTR/REAL ESTATE")</f>
        <v>NONLET CONSTR/REAL ESTATE</v>
      </c>
      <c r="I273" t="str">
        <f>CLEAN("R/E OPERATIONS/RSRF30              ")</f>
        <v xml:space="preserve">R/E OPERATIONS/RSRF30              </v>
      </c>
      <c r="J273" t="str">
        <f>CLEAN("USH 014")</f>
        <v>USH 014</v>
      </c>
      <c r="K273" t="str">
        <f>CLEAN("ROCK                          ")</f>
        <v xml:space="preserve">ROCK                          </v>
      </c>
      <c r="L273" t="str">
        <f>CLEAN("JANESVILLE - DARIEN                ")</f>
        <v xml:space="preserve">JANESVILLE - DARIEN                </v>
      </c>
      <c r="M273" t="str">
        <f>CLEAN("0.3M E CTH O TO EAST COUNTY LINE   ")</f>
        <v xml:space="preserve">0.3M E CTH O TO EAST COUNTY LINE   </v>
      </c>
      <c r="N273">
        <v>8.68</v>
      </c>
      <c r="O273" t="str">
        <f t="shared" si="112"/>
        <v xml:space="preserve">          </v>
      </c>
      <c r="P273" t="str">
        <f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274" spans="1:16" x14ac:dyDescent="0.25">
      <c r="A274" t="str">
        <f t="shared" si="104"/>
        <v>10</v>
      </c>
      <c r="B274" t="str">
        <f t="shared" si="113"/>
        <v>21</v>
      </c>
      <c r="C274" s="1">
        <v>45925</v>
      </c>
      <c r="D274" t="str">
        <f>CLEAN("1706-00-28")</f>
        <v>1706-00-28</v>
      </c>
      <c r="E274" t="str">
        <f t="shared" si="114"/>
        <v xml:space="preserve">303  </v>
      </c>
      <c r="F274" t="str">
        <f>CLEAN("$0 - $99,999             ")</f>
        <v xml:space="preserve">$0 - $99,999             </v>
      </c>
      <c r="G274" t="str">
        <f>CLEAN("R/E")</f>
        <v>R/E</v>
      </c>
      <c r="H274" t="str">
        <f>CLEAN("NONLET CONSTR/REAL ESTATE")</f>
        <v>NONLET CONSTR/REAL ESTATE</v>
      </c>
      <c r="I274" t="str">
        <f>CLEAN("DESIGN-RIGHT OF WAY-RSRF25         ")</f>
        <v xml:space="preserve">DESIGN-RIGHT OF WAY-RSRF25         </v>
      </c>
      <c r="J274" t="str">
        <f>CLEAN("STH 011")</f>
        <v>STH 011</v>
      </c>
      <c r="K274" t="str">
        <f>CLEAN("LAFAYETTE                     ")</f>
        <v xml:space="preserve">LAFAYETTE                     </v>
      </c>
      <c r="L274" t="str">
        <f>CLEAN("DUBUQUE - SHULLSBURG               ")</f>
        <v xml:space="preserve">DUBUQUE - SHULLSBURG               </v>
      </c>
      <c r="M274" t="str">
        <f>CLEAN("WHITE STREET TO E LIMIT BENTON     ")</f>
        <v xml:space="preserve">WHITE STREET TO E LIMIT BENTON     </v>
      </c>
      <c r="N274">
        <v>1.103</v>
      </c>
      <c r="O274" t="str">
        <f t="shared" si="112"/>
        <v xml:space="preserve">          </v>
      </c>
      <c r="P274" t="str">
        <f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275" spans="1:16" x14ac:dyDescent="0.25">
      <c r="A275" t="str">
        <f t="shared" si="104"/>
        <v>10</v>
      </c>
      <c r="B275" t="str">
        <f t="shared" si="113"/>
        <v>21</v>
      </c>
      <c r="C275" s="1">
        <v>45894</v>
      </c>
      <c r="D275" t="str">
        <f>CLEAN("1706-03-40")</f>
        <v>1706-03-40</v>
      </c>
      <c r="E275" t="str">
        <f t="shared" si="114"/>
        <v xml:space="preserve">303  </v>
      </c>
      <c r="F275" t="str">
        <f>CLEAN("$0 - $99,999             ")</f>
        <v xml:space="preserve">$0 - $99,999             </v>
      </c>
      <c r="G275" t="str">
        <f>CLEAN("UTL")</f>
        <v>UTL</v>
      </c>
      <c r="H275" t="str">
        <f>CLEAN("NONLET CONSTR/REAL ESTATE")</f>
        <v>NONLET CONSTR/REAL ESTATE</v>
      </c>
      <c r="I275" t="str">
        <f>CLEAN("UTL/SHULLSBURG ELECTRIC UTL 201    ")</f>
        <v xml:space="preserve">UTL/SHULLSBURG ELECTRIC UTL 201    </v>
      </c>
      <c r="J275" t="str">
        <f>CLEAN("STH 011")</f>
        <v>STH 011</v>
      </c>
      <c r="K275" t="str">
        <f>CLEAN("LAFAYETTE                     ")</f>
        <v xml:space="preserve">LAFAYETTE                     </v>
      </c>
      <c r="L275" t="str">
        <f>CLEAN("SHULLSBURG - MONROE                ")</f>
        <v xml:space="preserve">SHULLSBURG - MONROE                </v>
      </c>
      <c r="M275" t="str">
        <f>CLEAN("SHULLSBURG BRANCH BRIDGE           ")</f>
        <v xml:space="preserve">SHULLSBURG BRANCH BRIDGE           </v>
      </c>
      <c r="N275">
        <v>0</v>
      </c>
      <c r="O275" t="str">
        <f t="shared" si="112"/>
        <v xml:space="preserve">          </v>
      </c>
      <c r="P275" t="str">
        <f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276" spans="1:16" x14ac:dyDescent="0.25">
      <c r="A276" t="str">
        <f t="shared" si="104"/>
        <v>10</v>
      </c>
      <c r="B276" t="str">
        <f t="shared" si="113"/>
        <v>21</v>
      </c>
      <c r="C276" s="1">
        <v>45944</v>
      </c>
      <c r="D276" t="str">
        <f>CLEAN("1706-03-72")</f>
        <v>1706-03-72</v>
      </c>
      <c r="E276" t="str">
        <f t="shared" si="114"/>
        <v xml:space="preserve">303  </v>
      </c>
      <c r="F276" t="str">
        <f>CLEAN("$3,000,000 - $3,999,999  ")</f>
        <v xml:space="preserve">$3,000,000 - $3,999,999  </v>
      </c>
      <c r="G276" t="str">
        <f>CLEAN("LET")</f>
        <v>LET</v>
      </c>
      <c r="H276" t="str">
        <f>CLEAN("LET CONSTRUCTION         ")</f>
        <v xml:space="preserve">LET CONSTRUCTION         </v>
      </c>
      <c r="I276" t="str">
        <f>CLEAN("CONST/ IMPROVE INTERSECTION        ")</f>
        <v xml:space="preserve">CONST/ IMPROVE INTERSECTION        </v>
      </c>
      <c r="J276" t="str">
        <f>CLEAN("STH 011")</f>
        <v>STH 011</v>
      </c>
      <c r="K276" t="str">
        <f>CLEAN("LAFAYETTE                     ")</f>
        <v xml:space="preserve">LAFAYETTE                     </v>
      </c>
      <c r="L276" t="str">
        <f>CLEAN("SHULLSBURG - MONROE                ")</f>
        <v xml:space="preserve">SHULLSBURG - MONROE                </v>
      </c>
      <c r="M276" t="str">
        <f>CLEAN("STH 23 INTERSECTION                ")</f>
        <v xml:space="preserve">STH 23 INTERSECTION                </v>
      </c>
      <c r="N276">
        <v>0.224</v>
      </c>
      <c r="O276" t="str">
        <f t="shared" si="112"/>
        <v xml:space="preserve">          </v>
      </c>
      <c r="P276" t="str">
        <f>CLEAN("SAFETY (REGULAR HSIP)                                                                               ")</f>
        <v xml:space="preserve">SAFETY (REGULAR HSIP)                                                                               </v>
      </c>
    </row>
    <row r="277" spans="1:16" x14ac:dyDescent="0.25">
      <c r="A277" t="str">
        <f t="shared" si="104"/>
        <v>10</v>
      </c>
      <c r="B277" t="str">
        <f t="shared" si="113"/>
        <v>21</v>
      </c>
      <c r="C277" s="1">
        <v>45944</v>
      </c>
      <c r="D277" t="str">
        <f>CLEAN("1706-03-72")</f>
        <v>1706-03-72</v>
      </c>
      <c r="E277" t="str">
        <f t="shared" si="114"/>
        <v xml:space="preserve">303  </v>
      </c>
      <c r="F277" t="str">
        <f>CLEAN("$3,000,000 - $3,999,999  ")</f>
        <v xml:space="preserve">$3,000,000 - $3,999,999  </v>
      </c>
      <c r="G277" t="str">
        <f>CLEAN("LET")</f>
        <v>LET</v>
      </c>
      <c r="H277" t="str">
        <f>CLEAN("LET CONSTRUCTION         ")</f>
        <v xml:space="preserve">LET CONSTRUCTION         </v>
      </c>
      <c r="I277" t="str">
        <f>CLEAN("CONST/ IMPROVE INTERSECTION        ")</f>
        <v xml:space="preserve">CONST/ IMPROVE INTERSECTION        </v>
      </c>
      <c r="J277" t="str">
        <f>CLEAN("STH 011")</f>
        <v>STH 011</v>
      </c>
      <c r="K277" t="str">
        <f>CLEAN("LAFAYETTE                     ")</f>
        <v xml:space="preserve">LAFAYETTE                     </v>
      </c>
      <c r="L277" t="str">
        <f>CLEAN("SHULLSBURG - MONROE                ")</f>
        <v xml:space="preserve">SHULLSBURG - MONROE                </v>
      </c>
      <c r="M277" t="str">
        <f>CLEAN("STH 23 INTERSECTION                ")</f>
        <v xml:space="preserve">STH 23 INTERSECTION                </v>
      </c>
      <c r="N277">
        <v>0.224</v>
      </c>
      <c r="O277" t="str">
        <f t="shared" si="112"/>
        <v xml:space="preserve">          </v>
      </c>
      <c r="P277" t="str">
        <f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278" spans="1:16" x14ac:dyDescent="0.25">
      <c r="A278" t="str">
        <f t="shared" si="104"/>
        <v>10</v>
      </c>
      <c r="B278" t="str">
        <f t="shared" si="113"/>
        <v>21</v>
      </c>
      <c r="C278" s="1">
        <v>46137</v>
      </c>
      <c r="D278" t="str">
        <f>CLEAN("1706-04-24")</f>
        <v>1706-04-24</v>
      </c>
      <c r="E278" t="str">
        <f t="shared" si="114"/>
        <v xml:space="preserve">303  </v>
      </c>
      <c r="F278" t="str">
        <f>CLEAN("$0 - $99,999             ")</f>
        <v xml:space="preserve">$0 - $99,999             </v>
      </c>
      <c r="G278" t="str">
        <f>CLEAN("R/E")</f>
        <v>R/E</v>
      </c>
      <c r="H278" t="str">
        <f>CLEAN("NONLET CONSTR/REAL ESTATE")</f>
        <v>NONLET CONSTR/REAL ESTATE</v>
      </c>
      <c r="I278" t="str">
        <f>CLEAN("DESIGN-RIGHT OF WAY-RSRF30         ")</f>
        <v xml:space="preserve">DESIGN-RIGHT OF WAY-RSRF30         </v>
      </c>
      <c r="J278" t="str">
        <f>CLEAN("STH 011")</f>
        <v>STH 011</v>
      </c>
      <c r="K278" t="str">
        <f>CLEAN("LAFAYETTE                     ")</f>
        <v xml:space="preserve">LAFAYETTE                     </v>
      </c>
      <c r="L278" t="str">
        <f>CLEAN("SHULLSBURG - MONROE                ")</f>
        <v xml:space="preserve">SHULLSBURG - MONROE                </v>
      </c>
      <c r="M278" t="str">
        <f>CLEAN("WOLF CREEK BRIDGE TO CTH KK        ")</f>
        <v xml:space="preserve">WOLF CREEK BRIDGE TO CTH KK        </v>
      </c>
      <c r="N278">
        <v>3.27</v>
      </c>
      <c r="O278" t="str">
        <f t="shared" si="112"/>
        <v xml:space="preserve">          </v>
      </c>
      <c r="P278" t="str">
        <f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279" spans="1:16" x14ac:dyDescent="0.25">
      <c r="A279" t="str">
        <f t="shared" si="104"/>
        <v>10</v>
      </c>
      <c r="B279" t="str">
        <f t="shared" ref="B279:B310" si="115">CLEAN("22")</f>
        <v>22</v>
      </c>
      <c r="C279" s="1">
        <v>45955</v>
      </c>
      <c r="D279" t="str">
        <f>CLEAN("2010-03-23")</f>
        <v>2010-03-23</v>
      </c>
      <c r="E279" t="str">
        <f t="shared" si="114"/>
        <v xml:space="preserve">303  </v>
      </c>
      <c r="F279" t="str">
        <f>CLEAN("$100,000-$249,999        ")</f>
        <v xml:space="preserve">$100,000-$249,999        </v>
      </c>
      <c r="G279" t="str">
        <f>CLEAN("R/E")</f>
        <v>R/E</v>
      </c>
      <c r="H279" t="str">
        <f>CLEAN("NONLET CONSTR/REAL ESTATE")</f>
        <v>NONLET CONSTR/REAL ESTATE</v>
      </c>
      <c r="I279" t="str">
        <f>CLEAN("RE/RSRF20                          ")</f>
        <v xml:space="preserve">RE/RSRF20                          </v>
      </c>
      <c r="J279" t="str">
        <f>CLEAN("STH 175")</f>
        <v>STH 175</v>
      </c>
      <c r="K279" t="str">
        <f>CLEAN("WASHINGTON                    ")</f>
        <v xml:space="preserve">WASHINGTON                    </v>
      </c>
      <c r="L279" t="str">
        <f>CLEAN("V SLINGER, WASHINGTON ST           ")</f>
        <v xml:space="preserve">V SLINGER, WASHINGTON ST           </v>
      </c>
      <c r="M279" t="str">
        <f>CLEAN("STH 60 TO N MAPLE AVE              ")</f>
        <v xml:space="preserve">STH 60 TO N MAPLE AVE              </v>
      </c>
      <c r="N279">
        <v>1.2549999999999999</v>
      </c>
      <c r="O279" t="str">
        <f t="shared" si="112"/>
        <v xml:space="preserve">          </v>
      </c>
      <c r="P279" t="str">
        <f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280" spans="1:16" x14ac:dyDescent="0.25">
      <c r="A280" t="str">
        <f t="shared" si="104"/>
        <v>10</v>
      </c>
      <c r="B280" t="str">
        <f t="shared" si="115"/>
        <v>22</v>
      </c>
      <c r="C280" s="1">
        <v>46000</v>
      </c>
      <c r="D280" t="str">
        <f>CLEAN("2020-00-71")</f>
        <v>2020-00-71</v>
      </c>
      <c r="E280" t="str">
        <f>CLEAN("205  ")</f>
        <v xml:space="preserve">205  </v>
      </c>
      <c r="F280" t="str">
        <f>CLEAN("$750,000 - $999,999      ")</f>
        <v xml:space="preserve">$750,000 - $999,999      </v>
      </c>
      <c r="G280" t="str">
        <f>CLEAN("LET")</f>
        <v>LET</v>
      </c>
      <c r="H280" t="str">
        <f>CLEAN("LET CONSTRUCTION         ")</f>
        <v xml:space="preserve">LET CONSTRUCTION         </v>
      </c>
      <c r="I280" t="str">
        <f>CLEAN("CONST/BRIDGE REPLACEMENT           ")</f>
        <v xml:space="preserve">CONST/BRIDGE REPLACEMENT           </v>
      </c>
      <c r="J280" t="str">
        <f>CLEAN("LOC STR")</f>
        <v>LOC STR</v>
      </c>
      <c r="K280" t="str">
        <f>CLEAN("MILWAUKEE                     ")</f>
        <v xml:space="preserve">MILWAUKEE                     </v>
      </c>
      <c r="L280" t="str">
        <f>CLEAN("V BROWN DEER - N 51ST ST           ")</f>
        <v xml:space="preserve">V BROWN DEER - N 51ST ST           </v>
      </c>
      <c r="M280" t="str">
        <f>CLEAN("BRIDGE OVER BEAVER CREEK P-40-0550 ")</f>
        <v xml:space="preserve">BRIDGE OVER BEAVER CREEK P-40-0550 </v>
      </c>
      <c r="N280">
        <v>3.5999999999999997E-2</v>
      </c>
      <c r="O280" t="str">
        <f t="shared" si="112"/>
        <v xml:space="preserve">          </v>
      </c>
      <c r="P280" t="str">
        <f>CLEAN("LOCAL BRIDGES                                                                                       ")</f>
        <v xml:space="preserve">LOCAL BRIDGES                                                                                       </v>
      </c>
    </row>
    <row r="281" spans="1:16" x14ac:dyDescent="0.25">
      <c r="A281" t="str">
        <f t="shared" si="104"/>
        <v>10</v>
      </c>
      <c r="B281" t="str">
        <f t="shared" si="115"/>
        <v>22</v>
      </c>
      <c r="C281" s="1">
        <v>45944</v>
      </c>
      <c r="D281" t="str">
        <f>CLEAN("2025-03-73")</f>
        <v>2025-03-73</v>
      </c>
      <c r="E281" t="str">
        <f t="shared" ref="E281:E286" si="116">CLEAN("303  ")</f>
        <v xml:space="preserve">303  </v>
      </c>
      <c r="F281" t="str">
        <f>CLEAN("$12,000,000 - $12,999,999")</f>
        <v>$12,000,000 - $12,999,999</v>
      </c>
      <c r="G281" t="str">
        <f>CLEAN("LET")</f>
        <v>LET</v>
      </c>
      <c r="H281" t="str">
        <f>CLEAN("LET CONSTRUCTION         ")</f>
        <v xml:space="preserve">LET CONSTRUCTION         </v>
      </c>
      <c r="I281" t="str">
        <f>CLEAN("CONST/RESURFACE                    ")</f>
        <v xml:space="preserve">CONST/RESURFACE                    </v>
      </c>
      <c r="J281" t="str">
        <f>CLEAN("STH 190")</f>
        <v>STH 190</v>
      </c>
      <c r="K281" t="str">
        <f>CLEAN("WAUKESHA                      ")</f>
        <v xml:space="preserve">WAUKESHA                      </v>
      </c>
      <c r="L281" t="str">
        <f>CLEAN("C BROOKFIELD, CAPITOL DR           ")</f>
        <v xml:space="preserve">C BROOKFIELD, CAPITOL DR           </v>
      </c>
      <c r="M281" t="str">
        <f>CLEAN("BROOKFIELD RD TO 124TH ST          ")</f>
        <v xml:space="preserve">BROOKFIELD RD TO 124TH ST          </v>
      </c>
      <c r="N281">
        <v>4.3570000000000002</v>
      </c>
      <c r="O281" t="str">
        <f t="shared" si="112"/>
        <v xml:space="preserve">          </v>
      </c>
      <c r="P281" t="str">
        <f t="shared" ref="P281:P286" si="117"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282" spans="1:16" x14ac:dyDescent="0.25">
      <c r="A282" t="str">
        <f t="shared" si="104"/>
        <v>10</v>
      </c>
      <c r="B282" t="str">
        <f t="shared" si="115"/>
        <v>22</v>
      </c>
      <c r="C282" s="1">
        <v>46217</v>
      </c>
      <c r="D282" t="str">
        <f>CLEAN("2030-10-71")</f>
        <v>2030-10-71</v>
      </c>
      <c r="E282" t="str">
        <f t="shared" si="116"/>
        <v xml:space="preserve">303  </v>
      </c>
      <c r="F282" t="str">
        <f>CLEAN("$17,000,000 - $19,999,999")</f>
        <v>$17,000,000 - $19,999,999</v>
      </c>
      <c r="G282" t="str">
        <f>CLEAN("LET")</f>
        <v>LET</v>
      </c>
      <c r="H282" t="str">
        <f>CLEAN("LET CONSTRUCTION         ")</f>
        <v xml:space="preserve">LET CONSTRUCTION         </v>
      </c>
      <c r="I282" t="str">
        <f>CLEAN("CONST/BRIDGE REPLACEMENT           ")</f>
        <v xml:space="preserve">CONST/BRIDGE REPLACEMENT           </v>
      </c>
      <c r="J282" t="str">
        <f>CLEAN("STH 100")</f>
        <v>STH 100</v>
      </c>
      <c r="K282" t="str">
        <f t="shared" ref="K282:K295" si="118">CLEAN("MILWAUKEE                     ")</f>
        <v xml:space="preserve">MILWAUKEE                     </v>
      </c>
      <c r="L282" t="str">
        <f>CLEAN("N MAYFAIR RD/N LOVERS LN           ")</f>
        <v xml:space="preserve">N MAYFAIR RD/N LOVERS LN           </v>
      </c>
      <c r="M282" t="str">
        <f>CLEAN("W BURLEIGH ST TO W SILVER SPRING DR")</f>
        <v>W BURLEIGH ST TO W SILVER SPRING DR</v>
      </c>
      <c r="N282">
        <v>2.9540000000000002</v>
      </c>
      <c r="O282" t="str">
        <f t="shared" si="112"/>
        <v xml:space="preserve">          </v>
      </c>
      <c r="P282" t="str">
        <f t="shared" si="117"/>
        <v xml:space="preserve">STATE 3R                                                                                            </v>
      </c>
    </row>
    <row r="283" spans="1:16" x14ac:dyDescent="0.25">
      <c r="A283" t="str">
        <f t="shared" si="104"/>
        <v>10</v>
      </c>
      <c r="B283" t="str">
        <f t="shared" si="115"/>
        <v>22</v>
      </c>
      <c r="C283" s="1">
        <v>46137</v>
      </c>
      <c r="D283" t="str">
        <f>CLEAN("2030-22-20")</f>
        <v>2030-22-20</v>
      </c>
      <c r="E283" t="str">
        <f t="shared" si="116"/>
        <v xml:space="preserve">303  </v>
      </c>
      <c r="F283" t="str">
        <f>CLEAN("$100,000-$249,999        ")</f>
        <v xml:space="preserve">$100,000-$249,999        </v>
      </c>
      <c r="G283" t="str">
        <f>CLEAN("R/E")</f>
        <v>R/E</v>
      </c>
      <c r="H283" t="str">
        <f>CLEAN("NONLET CONSTR/REAL ESTATE")</f>
        <v>NONLET CONSTR/REAL ESTATE</v>
      </c>
      <c r="I283" t="str">
        <f>CLEAN("RE/RESURFACE                       ")</f>
        <v xml:space="preserve">RE/RESURFACE                       </v>
      </c>
      <c r="J283" t="str">
        <f>CLEAN("STH 100")</f>
        <v>STH 100</v>
      </c>
      <c r="K283" t="str">
        <f t="shared" si="118"/>
        <v xml:space="preserve">MILWAUKEE                     </v>
      </c>
      <c r="L283" t="str">
        <f>CLEAN("C WAUWATOSA MAYFAIR RD             ")</f>
        <v xml:space="preserve">C WAUWATOSA MAYFAIR RD             </v>
      </c>
      <c r="M283" t="str">
        <f>CLEAN("W WALNUT RD TO W BURLEIGH ST       ")</f>
        <v xml:space="preserve">W WALNUT RD TO W BURLEIGH ST       </v>
      </c>
      <c r="N283">
        <v>1.7</v>
      </c>
      <c r="O283" t="str">
        <f t="shared" si="112"/>
        <v xml:space="preserve">          </v>
      </c>
      <c r="P283" t="str">
        <f t="shared" si="117"/>
        <v xml:space="preserve">STATE 3R                                                                                            </v>
      </c>
    </row>
    <row r="284" spans="1:16" x14ac:dyDescent="0.25">
      <c r="A284" t="str">
        <f t="shared" si="104"/>
        <v>10</v>
      </c>
      <c r="B284" t="str">
        <f t="shared" si="115"/>
        <v>22</v>
      </c>
      <c r="C284" s="1">
        <v>46137</v>
      </c>
      <c r="D284" t="str">
        <f>CLEAN("2030-22-21")</f>
        <v>2030-22-21</v>
      </c>
      <c r="E284" t="str">
        <f t="shared" si="116"/>
        <v xml:space="preserve">303  </v>
      </c>
      <c r="F284" t="str">
        <f>CLEAN("$100,000-$249,999        ")</f>
        <v xml:space="preserve">$100,000-$249,999        </v>
      </c>
      <c r="G284" t="str">
        <f>CLEAN("R/E")</f>
        <v>R/E</v>
      </c>
      <c r="H284" t="str">
        <f>CLEAN("NONLET CONSTR/REAL ESTATE")</f>
        <v>NONLET CONSTR/REAL ESTATE</v>
      </c>
      <c r="I284" t="str">
        <f>CLEAN("RE/RESURFACE                       ")</f>
        <v xml:space="preserve">RE/RESURFACE                       </v>
      </c>
      <c r="J284" t="str">
        <f>CLEAN("STH 100")</f>
        <v>STH 100</v>
      </c>
      <c r="K284" t="str">
        <f t="shared" si="118"/>
        <v xml:space="preserve">MILWAUKEE                     </v>
      </c>
      <c r="L284" t="str">
        <f>CLEAN("C WAUWATOSA MAYFAIR RD             ")</f>
        <v xml:space="preserve">C WAUWATOSA MAYFAIR RD             </v>
      </c>
      <c r="M284" t="str">
        <f>CLEAN("W WALNUT RD TO W BURLEIGH ST       ")</f>
        <v xml:space="preserve">W WALNUT RD TO W BURLEIGH ST       </v>
      </c>
      <c r="N284">
        <v>1.2929999999999999</v>
      </c>
      <c r="O284" t="str">
        <f t="shared" si="112"/>
        <v xml:space="preserve">          </v>
      </c>
      <c r="P284" t="str">
        <f t="shared" si="117"/>
        <v xml:space="preserve">STATE 3R                                                                                            </v>
      </c>
    </row>
    <row r="285" spans="1:16" x14ac:dyDescent="0.25">
      <c r="A285" t="str">
        <f t="shared" si="104"/>
        <v>10</v>
      </c>
      <c r="B285" t="str">
        <f t="shared" si="115"/>
        <v>22</v>
      </c>
      <c r="C285" s="1">
        <v>46228</v>
      </c>
      <c r="D285" t="str">
        <f>CLEAN("2040-03-27")</f>
        <v>2040-03-27</v>
      </c>
      <c r="E285" t="str">
        <f t="shared" si="116"/>
        <v xml:space="preserve">303  </v>
      </c>
      <c r="F285" t="str">
        <f>CLEAN("$0 - $99,999             ")</f>
        <v xml:space="preserve">$0 - $99,999             </v>
      </c>
      <c r="G285" t="str">
        <f>CLEAN("R/E")</f>
        <v>R/E</v>
      </c>
      <c r="H285" t="str">
        <f>CLEAN("NONLET CONSTR/REAL ESTATE")</f>
        <v>NONLET CONSTR/REAL ESTATE</v>
      </c>
      <c r="I285" t="str">
        <f>CLEAN("PE/FULL PS&amp;E/RESURFACE             ")</f>
        <v xml:space="preserve">PE/FULL PS&amp;E/RESURFACE             </v>
      </c>
      <c r="J285" t="str">
        <f>CLEAN("USH 045")</f>
        <v>USH 045</v>
      </c>
      <c r="K285" t="str">
        <f t="shared" si="118"/>
        <v xml:space="preserve">MILWAUKEE                     </v>
      </c>
      <c r="L285" t="str">
        <f>CLEAN("UNION GROVE - HALES CORNERS        ")</f>
        <v xml:space="preserve">UNION GROVE - HALES CORNERS        </v>
      </c>
      <c r="M285" t="str">
        <f>CLEAN("COLLEGE AVE TO HALE I/C, B-40-0408 ")</f>
        <v xml:space="preserve">COLLEGE AVE TO HALE I/C, B-40-0408 </v>
      </c>
      <c r="N285">
        <v>1.6060000000000001</v>
      </c>
      <c r="O285" t="str">
        <f t="shared" si="112"/>
        <v xml:space="preserve">          </v>
      </c>
      <c r="P285" t="str">
        <f t="shared" si="117"/>
        <v xml:space="preserve">STATE 3R                                                                                            </v>
      </c>
    </row>
    <row r="286" spans="1:16" x14ac:dyDescent="0.25">
      <c r="A286" t="str">
        <f t="shared" si="104"/>
        <v>10</v>
      </c>
      <c r="B286" t="str">
        <f t="shared" si="115"/>
        <v>22</v>
      </c>
      <c r="C286" s="1">
        <v>46016</v>
      </c>
      <c r="D286" t="str">
        <f>CLEAN("2060-18-20")</f>
        <v>2060-18-20</v>
      </c>
      <c r="E286" t="str">
        <f t="shared" si="116"/>
        <v xml:space="preserve">303  </v>
      </c>
      <c r="F286" t="str">
        <f>CLEAN("$0 - $99,999             ")</f>
        <v xml:space="preserve">$0 - $99,999             </v>
      </c>
      <c r="G286" t="str">
        <f>CLEAN("R/E")</f>
        <v>R/E</v>
      </c>
      <c r="H286" t="str">
        <f>CLEAN("NONLET CONSTR/REAL ESTATE")</f>
        <v>NONLET CONSTR/REAL ESTATE</v>
      </c>
      <c r="I286" t="str">
        <f>CLEAN("RE/BRIDGE REPLACEMENT              ")</f>
        <v xml:space="preserve">RE/BRIDGE REPLACEMENT              </v>
      </c>
      <c r="J286" t="str">
        <f>CLEAN("STH 038")</f>
        <v>STH 038</v>
      </c>
      <c r="K286" t="str">
        <f t="shared" si="118"/>
        <v xml:space="preserve">MILWAUKEE                     </v>
      </c>
      <c r="L286" t="str">
        <f>CLEAN("CHASE AVE, CITY OF MILWAUKEE       ")</f>
        <v xml:space="preserve">CHASE AVE, CITY OF MILWAUKEE       </v>
      </c>
      <c r="M286" t="str">
        <f>CLEAN("BRIDGE OVER UP RR B40-571          ")</f>
        <v xml:space="preserve">BRIDGE OVER UP RR B40-571          </v>
      </c>
      <c r="N286">
        <v>0</v>
      </c>
      <c r="O286" t="str">
        <f t="shared" si="112"/>
        <v xml:space="preserve">          </v>
      </c>
      <c r="P286" t="str">
        <f t="shared" si="117"/>
        <v xml:space="preserve">STATE 3R                                                                                            </v>
      </c>
    </row>
    <row r="287" spans="1:16" x14ac:dyDescent="0.25">
      <c r="A287" t="str">
        <f t="shared" si="104"/>
        <v>10</v>
      </c>
      <c r="B287" t="str">
        <f t="shared" si="115"/>
        <v>22</v>
      </c>
      <c r="C287" s="1">
        <v>46063</v>
      </c>
      <c r="D287" t="str">
        <f>CLEAN("2070-03-77")</f>
        <v>2070-03-77</v>
      </c>
      <c r="E287" t="str">
        <f>CLEAN("206  ")</f>
        <v xml:space="preserve">206  </v>
      </c>
      <c r="F287" t="str">
        <f>CLEAN("$1,000,000 - $1,999,999  ")</f>
        <v xml:space="preserve">$1,000,000 - $1,999,999  </v>
      </c>
      <c r="G287" t="str">
        <f>CLEAN("LET")</f>
        <v>LET</v>
      </c>
      <c r="H287" t="str">
        <f>CLEAN("LET CONSTRUCTION         ")</f>
        <v xml:space="preserve">LET CONSTRUCTION         </v>
      </c>
      <c r="I287" t="str">
        <f>CLEAN("CONST/SIGNALS                      ")</f>
        <v xml:space="preserve">CONST/SIGNALS                      </v>
      </c>
      <c r="J287" t="str">
        <f>CLEAN("CTH Y  ")</f>
        <v xml:space="preserve">CTH Y  </v>
      </c>
      <c r="K287" t="str">
        <f t="shared" si="118"/>
        <v xml:space="preserve">MILWAUKEE                     </v>
      </c>
      <c r="L287" t="str">
        <f>CLEAN("C GREENFIELD, CUDAHY, LAYTON AVE   ")</f>
        <v xml:space="preserve">C GREENFIELD, CUDAHY, LAYTON AVE   </v>
      </c>
      <c r="M287" t="str">
        <f>CLEAN("INTERSECTIONS 84TH, 68TH, NICHOLSON")</f>
        <v>INTERSECTIONS 84TH, 68TH, NICHOLSON</v>
      </c>
      <c r="N287">
        <v>6.7000000000000004E-2</v>
      </c>
      <c r="O287" t="str">
        <f t="shared" si="112"/>
        <v xml:space="preserve">          </v>
      </c>
      <c r="P287" t="str">
        <f>CLEAN("SAFETY (REGULAR HSIP)                                                                               ")</f>
        <v xml:space="preserve">SAFETY (REGULAR HSIP)                                                                               </v>
      </c>
    </row>
    <row r="288" spans="1:16" x14ac:dyDescent="0.25">
      <c r="A288" t="str">
        <f t="shared" si="104"/>
        <v>10</v>
      </c>
      <c r="B288" t="str">
        <f t="shared" si="115"/>
        <v>22</v>
      </c>
      <c r="C288" s="1">
        <v>46078</v>
      </c>
      <c r="D288" t="str">
        <f>CLEAN("2070-08-72")</f>
        <v>2070-08-72</v>
      </c>
      <c r="E288" t="str">
        <f>CLEAN("211  ")</f>
        <v xml:space="preserve">211  </v>
      </c>
      <c r="F288" t="str">
        <f>CLEAN("$100,000-$249,999        ")</f>
        <v xml:space="preserve">$100,000-$249,999        </v>
      </c>
      <c r="G288" t="str">
        <f>CLEAN("LLC")</f>
        <v>LLC</v>
      </c>
      <c r="H288" t="str">
        <f>CLEAN("NONLET CONSTR/REAL ESTATE")</f>
        <v>NONLET CONSTR/REAL ESTATE</v>
      </c>
      <c r="I288" t="str">
        <f>CLEAN("MISC/ADAPTIVE TRAFFIC SIGNAL SYS   ")</f>
        <v xml:space="preserve">MISC/ADAPTIVE TRAFFIC SIGNAL SYS   </v>
      </c>
      <c r="J288" t="str">
        <f>CLEAN("CTH Y  ")</f>
        <v xml:space="preserve">CTH Y  </v>
      </c>
      <c r="K288" t="str">
        <f t="shared" si="118"/>
        <v xml:space="preserve">MILWAUKEE                     </v>
      </c>
      <c r="L288" t="str">
        <f>CLEAN("LAYTON AVE TRAFFIC SIGNAL IMPROVE  ")</f>
        <v xml:space="preserve">LAYTON AVE TRAFFIC SIGNAL IMPROVE  </v>
      </c>
      <c r="M288" t="str">
        <f>CLEAN("S 76TH ST TO S 47TH ST             ")</f>
        <v xml:space="preserve">S 76TH ST TO S 47TH ST             </v>
      </c>
      <c r="N288">
        <v>0.1</v>
      </c>
      <c r="O288" t="str">
        <f t="shared" si="112"/>
        <v xml:space="preserve">          </v>
      </c>
      <c r="P288" t="str">
        <f>CLEAN("CONGESTION MITIGATION AND AIR QUALITY (CMAQ)                                                        ")</f>
        <v xml:space="preserve">CONGESTION MITIGATION AND AIR QUALITY (CMAQ)                                                        </v>
      </c>
    </row>
    <row r="289" spans="1:16" x14ac:dyDescent="0.25">
      <c r="A289" t="str">
        <f t="shared" si="104"/>
        <v>10</v>
      </c>
      <c r="B289" t="str">
        <f t="shared" si="115"/>
        <v>22</v>
      </c>
      <c r="C289" s="1">
        <v>46016</v>
      </c>
      <c r="D289" t="str">
        <f>CLEAN("2070-08-82")</f>
        <v>2070-08-82</v>
      </c>
      <c r="E289" t="str">
        <f>CLEAN("211  ")</f>
        <v xml:space="preserve">211  </v>
      </c>
      <c r="F289" t="str">
        <f>CLEAN("$100,000-$249,999        ")</f>
        <v xml:space="preserve">$100,000-$249,999        </v>
      </c>
      <c r="G289" t="str">
        <f>CLEAN("MIS")</f>
        <v>MIS</v>
      </c>
      <c r="H289" t="str">
        <f>CLEAN("NONLET CONSTR/REAL ESTATE")</f>
        <v>NONLET CONSTR/REAL ESTATE</v>
      </c>
      <c r="I289" t="str">
        <f>CLEAN("MIS/PROCUREMENT                    ")</f>
        <v xml:space="preserve">MIS/PROCUREMENT                    </v>
      </c>
      <c r="J289" t="str">
        <f>CLEAN("CTH Y  ")</f>
        <v xml:space="preserve">CTH Y  </v>
      </c>
      <c r="K289" t="str">
        <f t="shared" si="118"/>
        <v xml:space="preserve">MILWAUKEE                     </v>
      </c>
      <c r="L289" t="str">
        <f>CLEAN("LAYTON AVE TRAFFIC SIGNAL IMPROVE  ")</f>
        <v xml:space="preserve">LAYTON AVE TRAFFIC SIGNAL IMPROVE  </v>
      </c>
      <c r="M289" t="str">
        <f>CLEAN("S 76TH ST TO S 47TH ST             ")</f>
        <v xml:space="preserve">S 76TH ST TO S 47TH ST             </v>
      </c>
      <c r="N289">
        <v>0.1</v>
      </c>
      <c r="O289" t="str">
        <f t="shared" si="112"/>
        <v xml:space="preserve">          </v>
      </c>
      <c r="P289" t="str">
        <f>CLEAN("CONGESTION MITIGATION AND AIR QUALITY (CMAQ)                                                        ")</f>
        <v xml:space="preserve">CONGESTION MITIGATION AND AIR QUALITY (CMAQ)                                                        </v>
      </c>
    </row>
    <row r="290" spans="1:16" x14ac:dyDescent="0.25">
      <c r="A290" t="str">
        <f t="shared" si="104"/>
        <v>10</v>
      </c>
      <c r="B290" t="str">
        <f t="shared" si="115"/>
        <v>22</v>
      </c>
      <c r="C290" s="1">
        <v>46137</v>
      </c>
      <c r="D290" t="str">
        <f>CLEAN("2120-03-21")</f>
        <v>2120-03-21</v>
      </c>
      <c r="E290" t="str">
        <f t="shared" ref="E290:E321" si="119">CLEAN("303  ")</f>
        <v xml:space="preserve">303  </v>
      </c>
      <c r="F290" t="str">
        <f>CLEAN("$0 - $99,999             ")</f>
        <v xml:space="preserve">$0 - $99,999             </v>
      </c>
      <c r="G290" t="str">
        <f>CLEAN("R/E")</f>
        <v>R/E</v>
      </c>
      <c r="H290" t="str">
        <f>CLEAN("NONLET CONSTR/REAL ESTATE")</f>
        <v>NONLET CONSTR/REAL ESTATE</v>
      </c>
      <c r="I290" t="str">
        <f>CLEAN("RE/RSRF15                          ")</f>
        <v xml:space="preserve">RE/RSRF15                          </v>
      </c>
      <c r="J290" t="str">
        <f>CLEAN("STH 024")</f>
        <v>STH 024</v>
      </c>
      <c r="K290" t="str">
        <f t="shared" si="118"/>
        <v xml:space="preserve">MILWAUKEE                     </v>
      </c>
      <c r="L290" t="str">
        <f>CLEAN("FOREST HOME AVE                    ")</f>
        <v xml:space="preserve">FOREST HOME AVE                    </v>
      </c>
      <c r="M290" t="str">
        <f>CLEAN("110TH ST TO 500' W OF LILAC LN     ")</f>
        <v xml:space="preserve">110TH ST TO 500' W OF LILAC LN     </v>
      </c>
      <c r="N290">
        <v>0.28399999999999997</v>
      </c>
      <c r="O290" t="str">
        <f t="shared" si="112"/>
        <v xml:space="preserve">          </v>
      </c>
      <c r="P290" t="str">
        <f t="shared" ref="P290:P304" si="120"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291" spans="1:16" x14ac:dyDescent="0.25">
      <c r="A291" t="str">
        <f t="shared" si="104"/>
        <v>10</v>
      </c>
      <c r="B291" t="str">
        <f t="shared" si="115"/>
        <v>22</v>
      </c>
      <c r="C291" s="1">
        <v>45909</v>
      </c>
      <c r="D291" t="str">
        <f>CLEAN("2140-14-70")</f>
        <v>2140-14-70</v>
      </c>
      <c r="E291" t="str">
        <f t="shared" si="119"/>
        <v xml:space="preserve">303  </v>
      </c>
      <c r="F291" t="str">
        <f>CLEAN("$14,000,000 - $14,999,999")</f>
        <v>$14,000,000 - $14,999,999</v>
      </c>
      <c r="G291" t="str">
        <f>CLEAN("LET")</f>
        <v>LET</v>
      </c>
      <c r="H291" t="str">
        <f>CLEAN("LET CONSTRUCTION         ")</f>
        <v xml:space="preserve">LET CONSTRUCTION         </v>
      </c>
      <c r="I291" t="str">
        <f>CLEAN("CONST/RESURFACE                    ")</f>
        <v xml:space="preserve">CONST/RESURFACE                    </v>
      </c>
      <c r="J291" t="str">
        <f>CLEAN("STH 181")</f>
        <v>STH 181</v>
      </c>
      <c r="K291" t="str">
        <f t="shared" si="118"/>
        <v xml:space="preserve">MILWAUKEE                     </v>
      </c>
      <c r="L291" t="str">
        <f>CLEAN("C MILWAUKEE 76TH STREET            ")</f>
        <v xml:space="preserve">C MILWAUKEE 76TH STREET            </v>
      </c>
      <c r="M291" t="str">
        <f>CLEAN("FLORIST AVE TO CTH Q               ")</f>
        <v xml:space="preserve">FLORIST AVE TO CTH Q               </v>
      </c>
      <c r="N291">
        <v>4.4359999999999999</v>
      </c>
      <c r="O291" t="str">
        <f t="shared" si="112"/>
        <v xml:space="preserve">          </v>
      </c>
      <c r="P291" t="str">
        <f t="shared" si="120"/>
        <v xml:space="preserve">STATE 3R                                                                                            </v>
      </c>
    </row>
    <row r="292" spans="1:16" x14ac:dyDescent="0.25">
      <c r="A292" t="str">
        <f t="shared" si="104"/>
        <v>10</v>
      </c>
      <c r="B292" t="str">
        <f t="shared" si="115"/>
        <v>22</v>
      </c>
      <c r="C292" s="1">
        <v>45894</v>
      </c>
      <c r="D292" t="str">
        <f>CLEAN("2200-10-21")</f>
        <v>2200-10-21</v>
      </c>
      <c r="E292" t="str">
        <f t="shared" si="119"/>
        <v xml:space="preserve">303  </v>
      </c>
      <c r="F292" t="str">
        <f>CLEAN("$0 - $99,999             ")</f>
        <v xml:space="preserve">$0 - $99,999             </v>
      </c>
      <c r="G292" t="str">
        <f t="shared" ref="G292:G301" si="121">CLEAN("R/E")</f>
        <v>R/E</v>
      </c>
      <c r="H292" t="str">
        <f t="shared" ref="H292:H301" si="122">CLEAN("NONLET CONSTR/REAL ESTATE")</f>
        <v>NONLET CONSTR/REAL ESTATE</v>
      </c>
      <c r="I292" t="str">
        <f>CLEAN("RE/RESURFACE                       ")</f>
        <v xml:space="preserve">RE/RESURFACE                       </v>
      </c>
      <c r="J292" t="str">
        <f>CLEAN("USH 018")</f>
        <v>USH 018</v>
      </c>
      <c r="K292" t="str">
        <f t="shared" si="118"/>
        <v xml:space="preserve">MILWAUKEE                     </v>
      </c>
      <c r="L292" t="str">
        <f>CLEAN("C WAUWATOSA/BLUEMOUND RD           ")</f>
        <v xml:space="preserve">C WAUWATOSA/BLUEMOUND RD           </v>
      </c>
      <c r="M292" t="str">
        <f>CLEAN("N 106TH ST TO N 66TH ST            ")</f>
        <v xml:space="preserve">N 106TH ST TO N 66TH ST            </v>
      </c>
      <c r="N292">
        <v>1.746</v>
      </c>
      <c r="O292" t="str">
        <f t="shared" si="112"/>
        <v xml:space="preserve">          </v>
      </c>
      <c r="P292" t="str">
        <f t="shared" si="120"/>
        <v xml:space="preserve">STATE 3R                                                                                            </v>
      </c>
    </row>
    <row r="293" spans="1:16" x14ac:dyDescent="0.25">
      <c r="A293" t="str">
        <f t="shared" si="104"/>
        <v>10</v>
      </c>
      <c r="B293" t="str">
        <f t="shared" si="115"/>
        <v>22</v>
      </c>
      <c r="C293" s="1">
        <v>45894</v>
      </c>
      <c r="D293" t="str">
        <f>CLEAN("2200-10-22")</f>
        <v>2200-10-22</v>
      </c>
      <c r="E293" t="str">
        <f t="shared" si="119"/>
        <v xml:space="preserve">303  </v>
      </c>
      <c r="F293" t="str">
        <f>CLEAN("$100,000-$249,999        ")</f>
        <v xml:space="preserve">$100,000-$249,999        </v>
      </c>
      <c r="G293" t="str">
        <f t="shared" si="121"/>
        <v>R/E</v>
      </c>
      <c r="H293" t="str">
        <f t="shared" si="122"/>
        <v>NONLET CONSTR/REAL ESTATE</v>
      </c>
      <c r="I293" t="str">
        <f>CLEAN("RE/RESURFACE                       ")</f>
        <v xml:space="preserve">RE/RESURFACE                       </v>
      </c>
      <c r="J293" t="str">
        <f>CLEAN("USH 018")</f>
        <v>USH 018</v>
      </c>
      <c r="K293" t="str">
        <f t="shared" si="118"/>
        <v xml:space="preserve">MILWAUKEE                     </v>
      </c>
      <c r="L293" t="str">
        <f>CLEAN("C MILWAUKEE, BLUEMOUND RD          ")</f>
        <v xml:space="preserve">C MILWAUKEE, BLUEMOUND RD          </v>
      </c>
      <c r="M293" t="str">
        <f>CLEAN("N 106TH ST TO N 66TH ST            ")</f>
        <v xml:space="preserve">N 106TH ST TO N 66TH ST            </v>
      </c>
      <c r="N293">
        <v>1.746</v>
      </c>
      <c r="O293" t="str">
        <f t="shared" si="112"/>
        <v xml:space="preserve">          </v>
      </c>
      <c r="P293" t="str">
        <f t="shared" si="120"/>
        <v xml:space="preserve">STATE 3R                                                                                            </v>
      </c>
    </row>
    <row r="294" spans="1:16" x14ac:dyDescent="0.25">
      <c r="A294" t="str">
        <f t="shared" si="104"/>
        <v>10</v>
      </c>
      <c r="B294" t="str">
        <f t="shared" si="115"/>
        <v>22</v>
      </c>
      <c r="C294" s="1">
        <v>45925</v>
      </c>
      <c r="D294" t="str">
        <f>CLEAN("2225-05-21")</f>
        <v>2225-05-21</v>
      </c>
      <c r="E294" t="str">
        <f t="shared" si="119"/>
        <v xml:space="preserve">303  </v>
      </c>
      <c r="F294" t="str">
        <f>CLEAN("$0 - $99,999             ")</f>
        <v xml:space="preserve">$0 - $99,999             </v>
      </c>
      <c r="G294" t="str">
        <f t="shared" si="121"/>
        <v>R/E</v>
      </c>
      <c r="H294" t="str">
        <f t="shared" si="122"/>
        <v>NONLET CONSTR/REAL ESTATE</v>
      </c>
      <c r="I294" t="str">
        <f>CLEAN("RE/RESURFACE                       ")</f>
        <v xml:space="preserve">RE/RESURFACE                       </v>
      </c>
      <c r="J294" t="str">
        <f>CLEAN("STH 032")</f>
        <v>STH 032</v>
      </c>
      <c r="K294" t="str">
        <f t="shared" si="118"/>
        <v xml:space="preserve">MILWAUKEE                     </v>
      </c>
      <c r="L294" t="str">
        <f>CLEAN("VBAYSIDE,N LAKE DR, W BROWN DEER RD")</f>
        <v>VBAYSIDE,N LAKE DR, W BROWN DEER RD</v>
      </c>
      <c r="M294" t="str">
        <f>CLEAN("E DEAN RD TO N MOHAWK RD           ")</f>
        <v xml:space="preserve">E DEAN RD TO N MOHAWK RD           </v>
      </c>
      <c r="N294">
        <v>1.27</v>
      </c>
      <c r="O294" t="str">
        <f t="shared" si="112"/>
        <v xml:space="preserve">          </v>
      </c>
      <c r="P294" t="str">
        <f t="shared" si="120"/>
        <v xml:space="preserve">STATE 3R                                                                                            </v>
      </c>
    </row>
    <row r="295" spans="1:16" x14ac:dyDescent="0.25">
      <c r="A295" t="str">
        <f t="shared" si="104"/>
        <v>10</v>
      </c>
      <c r="B295" t="str">
        <f t="shared" si="115"/>
        <v>22</v>
      </c>
      <c r="C295" s="1">
        <v>45894</v>
      </c>
      <c r="D295" t="str">
        <f>CLEAN("2230-11-20")</f>
        <v>2230-11-20</v>
      </c>
      <c r="E295" t="str">
        <f t="shared" si="119"/>
        <v xml:space="preserve">303  </v>
      </c>
      <c r="F295" t="str">
        <f>CLEAN("$0 - $99,999             ")</f>
        <v xml:space="preserve">$0 - $99,999             </v>
      </c>
      <c r="G295" t="str">
        <f t="shared" si="121"/>
        <v>R/E</v>
      </c>
      <c r="H295" t="str">
        <f t="shared" si="122"/>
        <v>NONLET CONSTR/REAL ESTATE</v>
      </c>
      <c r="I295" t="str">
        <f>CLEAN("RE/RESURFACE                       ")</f>
        <v xml:space="preserve">RE/RESURFACE                       </v>
      </c>
      <c r="J295" t="str">
        <f>CLEAN("STH 059")</f>
        <v>STH 059</v>
      </c>
      <c r="K295" t="str">
        <f t="shared" si="118"/>
        <v xml:space="preserve">MILWAUKEE                     </v>
      </c>
      <c r="L295" t="str">
        <f>CLEAN("C WEST ALLIS, W GREENFIELD AVE     ")</f>
        <v xml:space="preserve">C WEST ALLIS, W GREENFIELD AVE     </v>
      </c>
      <c r="M295" t="str">
        <f>CLEAN("124TH ST TO 106TH STREET           ")</f>
        <v xml:space="preserve">124TH ST TO 106TH STREET           </v>
      </c>
      <c r="N295">
        <v>1.1419999999999999</v>
      </c>
      <c r="O295" t="str">
        <f t="shared" si="112"/>
        <v xml:space="preserve">          </v>
      </c>
      <c r="P295" t="str">
        <f t="shared" si="120"/>
        <v xml:space="preserve">STATE 3R                                                                                            </v>
      </c>
    </row>
    <row r="296" spans="1:16" x14ac:dyDescent="0.25">
      <c r="A296" t="str">
        <f t="shared" si="104"/>
        <v>10</v>
      </c>
      <c r="B296" t="str">
        <f t="shared" si="115"/>
        <v>22</v>
      </c>
      <c r="C296" s="1">
        <v>46228</v>
      </c>
      <c r="D296" t="str">
        <f>CLEAN("2230-15-22")</f>
        <v>2230-15-22</v>
      </c>
      <c r="E296" t="str">
        <f t="shared" si="119"/>
        <v xml:space="preserve">303  </v>
      </c>
      <c r="F296" t="str">
        <f>CLEAN("$0 - $99,999             ")</f>
        <v xml:space="preserve">$0 - $99,999             </v>
      </c>
      <c r="G296" t="str">
        <f t="shared" si="121"/>
        <v>R/E</v>
      </c>
      <c r="H296" t="str">
        <f t="shared" si="122"/>
        <v>NONLET CONSTR/REAL ESTATE</v>
      </c>
      <c r="I296" t="str">
        <f>CLEAN("RE/RSRF25/BROOKFIELD               ")</f>
        <v xml:space="preserve">RE/RSRF25/BROOKFIELD               </v>
      </c>
      <c r="J296" t="str">
        <f>CLEAN("STH 059")</f>
        <v>STH 059</v>
      </c>
      <c r="K296" t="str">
        <f>CLEAN("WAUKESHA                      ")</f>
        <v xml:space="preserve">WAUKESHA                      </v>
      </c>
      <c r="L296" t="str">
        <f>CLEAN("C BROOKFIELD, GREENFIELD AVE       ")</f>
        <v xml:space="preserve">C BROOKFIELD, GREENFIELD AVE       </v>
      </c>
      <c r="M296" t="str">
        <f>CLEAN("S BROOKFIELD RD TO 124TH ST        ")</f>
        <v xml:space="preserve">S BROOKFIELD RD TO 124TH ST        </v>
      </c>
      <c r="N296">
        <v>4.0940000000000003</v>
      </c>
      <c r="O296" t="str">
        <f t="shared" si="112"/>
        <v xml:space="preserve">          </v>
      </c>
      <c r="P296" t="str">
        <f t="shared" si="120"/>
        <v xml:space="preserve">STATE 3R                                                                                            </v>
      </c>
    </row>
    <row r="297" spans="1:16" x14ac:dyDescent="0.25">
      <c r="A297" t="str">
        <f t="shared" si="104"/>
        <v>10</v>
      </c>
      <c r="B297" t="str">
        <f t="shared" si="115"/>
        <v>22</v>
      </c>
      <c r="C297" s="1">
        <v>46228</v>
      </c>
      <c r="D297" t="str">
        <f>CLEAN("2230-15-23")</f>
        <v>2230-15-23</v>
      </c>
      <c r="E297" t="str">
        <f t="shared" si="119"/>
        <v xml:space="preserve">303  </v>
      </c>
      <c r="F297" t="str">
        <f>CLEAN("$0 - $99,999             ")</f>
        <v xml:space="preserve">$0 - $99,999             </v>
      </c>
      <c r="G297" t="str">
        <f t="shared" si="121"/>
        <v>R/E</v>
      </c>
      <c r="H297" t="str">
        <f t="shared" si="122"/>
        <v>NONLET CONSTR/REAL ESTATE</v>
      </c>
      <c r="I297" t="str">
        <f>CLEAN("RE/PVRPLA/NEW BERLIN               ")</f>
        <v xml:space="preserve">RE/PVRPLA/NEW BERLIN               </v>
      </c>
      <c r="J297" t="str">
        <f>CLEAN("STH 059")</f>
        <v>STH 059</v>
      </c>
      <c r="K297" t="str">
        <f>CLEAN("WAUKESHA                      ")</f>
        <v xml:space="preserve">WAUKESHA                      </v>
      </c>
      <c r="L297" t="str">
        <f>CLEAN("C NEW BERLIN, GREENFIELD AVE       ")</f>
        <v xml:space="preserve">C NEW BERLIN, GREENFIELD AVE       </v>
      </c>
      <c r="M297" t="str">
        <f>CLEAN("S BROOKFIELD RD TO 124TH ST        ")</f>
        <v xml:space="preserve">S BROOKFIELD RD TO 124TH ST        </v>
      </c>
      <c r="N297">
        <v>4.0940000000000003</v>
      </c>
      <c r="O297" t="str">
        <f t="shared" si="112"/>
        <v xml:space="preserve">          </v>
      </c>
      <c r="P297" t="str">
        <f t="shared" si="120"/>
        <v xml:space="preserve">STATE 3R                                                                                            </v>
      </c>
    </row>
    <row r="298" spans="1:16" x14ac:dyDescent="0.25">
      <c r="A298" t="str">
        <f t="shared" si="104"/>
        <v>10</v>
      </c>
      <c r="B298" t="str">
        <f t="shared" si="115"/>
        <v>22</v>
      </c>
      <c r="C298" s="1">
        <v>46047</v>
      </c>
      <c r="D298" t="str">
        <f>CLEAN("2265-09-21")</f>
        <v>2265-09-21</v>
      </c>
      <c r="E298" t="str">
        <f t="shared" si="119"/>
        <v xml:space="preserve">303  </v>
      </c>
      <c r="F298" t="str">
        <f>CLEAN("$100,000-$249,999        ")</f>
        <v xml:space="preserve">$100,000-$249,999        </v>
      </c>
      <c r="G298" t="str">
        <f t="shared" si="121"/>
        <v>R/E</v>
      </c>
      <c r="H298" t="str">
        <f t="shared" si="122"/>
        <v>NONLET CONSTR/REAL ESTATE</v>
      </c>
      <c r="I298" t="str">
        <f>CLEAN("RE/RSRF30                          ")</f>
        <v xml:space="preserve">RE/RSRF30                          </v>
      </c>
      <c r="J298" t="str">
        <f>CLEAN("STH 241")</f>
        <v>STH 241</v>
      </c>
      <c r="K298" t="str">
        <f>CLEAN("MILWAUKEE                     ")</f>
        <v xml:space="preserve">MILWAUKEE                     </v>
      </c>
      <c r="L298" t="str">
        <f>CLEAN("OAK CREEK - MILWAUKEE              ")</f>
        <v xml:space="preserve">OAK CREEK - MILWAUKEE              </v>
      </c>
      <c r="M298" t="str">
        <f>CLEAN("W ELM ROAD TO W VILLA DRIVE        ")</f>
        <v xml:space="preserve">W ELM ROAD TO W VILLA DRIVE        </v>
      </c>
      <c r="N298">
        <v>3.3</v>
      </c>
      <c r="O298" t="str">
        <f t="shared" si="112"/>
        <v xml:space="preserve">          </v>
      </c>
      <c r="P298" t="str">
        <f t="shared" si="120"/>
        <v xml:space="preserve">STATE 3R                                                                                            </v>
      </c>
    </row>
    <row r="299" spans="1:16" x14ac:dyDescent="0.25">
      <c r="A299" t="str">
        <f t="shared" si="104"/>
        <v>10</v>
      </c>
      <c r="B299" t="str">
        <f t="shared" si="115"/>
        <v>22</v>
      </c>
      <c r="C299" s="1">
        <v>46047</v>
      </c>
      <c r="D299" t="str">
        <f>CLEAN("2265-09-22")</f>
        <v>2265-09-22</v>
      </c>
      <c r="E299" t="str">
        <f t="shared" si="119"/>
        <v xml:space="preserve">303  </v>
      </c>
      <c r="F299" t="str">
        <f>CLEAN("$250,000 - $499,999      ")</f>
        <v xml:space="preserve">$250,000 - $499,999      </v>
      </c>
      <c r="G299" t="str">
        <f t="shared" si="121"/>
        <v>R/E</v>
      </c>
      <c r="H299" t="str">
        <f t="shared" si="122"/>
        <v>NONLET CONSTR/REAL ESTATE</v>
      </c>
      <c r="I299" t="str">
        <f>CLEAN("RE/RSRF30                          ")</f>
        <v xml:space="preserve">RE/RSRF30                          </v>
      </c>
      <c r="J299" t="str">
        <f>CLEAN("STH 241")</f>
        <v>STH 241</v>
      </c>
      <c r="K299" t="str">
        <f>CLEAN("MILWAUKEE                     ")</f>
        <v xml:space="preserve">MILWAUKEE                     </v>
      </c>
      <c r="L299" t="str">
        <f>CLEAN("OAK CREEK - MILWAUKEE              ")</f>
        <v xml:space="preserve">OAK CREEK - MILWAUKEE              </v>
      </c>
      <c r="M299" t="str">
        <f>CLEAN("W ELM ROAD TO W VILLA DRIVE        ")</f>
        <v xml:space="preserve">W ELM ROAD TO W VILLA DRIVE        </v>
      </c>
      <c r="N299">
        <v>3.2949999999999999</v>
      </c>
      <c r="O299" t="str">
        <f t="shared" si="112"/>
        <v xml:space="preserve">          </v>
      </c>
      <c r="P299" t="str">
        <f t="shared" si="120"/>
        <v xml:space="preserve">STATE 3R                                                                                            </v>
      </c>
    </row>
    <row r="300" spans="1:16" x14ac:dyDescent="0.25">
      <c r="A300" t="str">
        <f t="shared" si="104"/>
        <v>10</v>
      </c>
      <c r="B300" t="str">
        <f t="shared" si="115"/>
        <v>22</v>
      </c>
      <c r="C300" s="1">
        <v>46047</v>
      </c>
      <c r="D300" t="str">
        <f>CLEAN("2265-09-23")</f>
        <v>2265-09-23</v>
      </c>
      <c r="E300" t="str">
        <f t="shared" si="119"/>
        <v xml:space="preserve">303  </v>
      </c>
      <c r="F300" t="str">
        <f>CLEAN("$100,000-$249,999        ")</f>
        <v xml:space="preserve">$100,000-$249,999        </v>
      </c>
      <c r="G300" t="str">
        <f t="shared" si="121"/>
        <v>R/E</v>
      </c>
      <c r="H300" t="str">
        <f t="shared" si="122"/>
        <v>NONLET CONSTR/REAL ESTATE</v>
      </c>
      <c r="I300" t="str">
        <f>CLEAN("RE/RSRF30                          ")</f>
        <v xml:space="preserve">RE/RSRF30                          </v>
      </c>
      <c r="J300" t="str">
        <f>CLEAN("STH 241")</f>
        <v>STH 241</v>
      </c>
      <c r="K300" t="str">
        <f>CLEAN("MILWAUKEE                     ")</f>
        <v xml:space="preserve">MILWAUKEE                     </v>
      </c>
      <c r="L300" t="str">
        <f>CLEAN("OAK CREEK - MILWAUKEE              ")</f>
        <v xml:space="preserve">OAK CREEK - MILWAUKEE              </v>
      </c>
      <c r="M300" t="str">
        <f>CLEAN("W ELM ROAD TO W VILLA DRIVE        ")</f>
        <v xml:space="preserve">W ELM ROAD TO W VILLA DRIVE        </v>
      </c>
      <c r="N300">
        <v>3.2949999999999999</v>
      </c>
      <c r="O300" t="str">
        <f t="shared" si="112"/>
        <v xml:space="preserve">          </v>
      </c>
      <c r="P300" t="str">
        <f t="shared" si="120"/>
        <v xml:space="preserve">STATE 3R                                                                                            </v>
      </c>
    </row>
    <row r="301" spans="1:16" x14ac:dyDescent="0.25">
      <c r="A301" t="str">
        <f t="shared" si="104"/>
        <v>10</v>
      </c>
      <c r="B301" t="str">
        <f t="shared" si="115"/>
        <v>22</v>
      </c>
      <c r="C301" s="1">
        <v>46047</v>
      </c>
      <c r="D301" t="str">
        <f>CLEAN("2265-09-24")</f>
        <v>2265-09-24</v>
      </c>
      <c r="E301" t="str">
        <f t="shared" si="119"/>
        <v xml:space="preserve">303  </v>
      </c>
      <c r="F301" t="str">
        <f>CLEAN("$100,000-$249,999        ")</f>
        <v xml:space="preserve">$100,000-$249,999        </v>
      </c>
      <c r="G301" t="str">
        <f t="shared" si="121"/>
        <v>R/E</v>
      </c>
      <c r="H301" t="str">
        <f t="shared" si="122"/>
        <v>NONLET CONSTR/REAL ESTATE</v>
      </c>
      <c r="I301" t="str">
        <f>CLEAN("RE/RSRF30                          ")</f>
        <v xml:space="preserve">RE/RSRF30                          </v>
      </c>
      <c r="J301" t="str">
        <f>CLEAN("STH 241")</f>
        <v>STH 241</v>
      </c>
      <c r="K301" t="str">
        <f>CLEAN("MILWAUKEE                     ")</f>
        <v xml:space="preserve">MILWAUKEE                     </v>
      </c>
      <c r="L301" t="str">
        <f>CLEAN("OAK CREEK - MILWAUKEE              ")</f>
        <v xml:space="preserve">OAK CREEK - MILWAUKEE              </v>
      </c>
      <c r="M301" t="str">
        <f>CLEAN("W ELM ROAD TO W VILLA DRIVE        ")</f>
        <v xml:space="preserve">W ELM ROAD TO W VILLA DRIVE        </v>
      </c>
      <c r="N301">
        <v>3.2949999999999999</v>
      </c>
      <c r="O301" t="str">
        <f t="shared" si="112"/>
        <v xml:space="preserve">          </v>
      </c>
      <c r="P301" t="str">
        <f t="shared" si="120"/>
        <v xml:space="preserve">STATE 3R                                                                                            </v>
      </c>
    </row>
    <row r="302" spans="1:16" x14ac:dyDescent="0.25">
      <c r="A302" t="str">
        <f t="shared" si="104"/>
        <v>10</v>
      </c>
      <c r="B302" t="str">
        <f t="shared" si="115"/>
        <v>22</v>
      </c>
      <c r="C302" s="1">
        <v>45944</v>
      </c>
      <c r="D302" t="str">
        <f>CLEAN("2265-11-72")</f>
        <v>2265-11-72</v>
      </c>
      <c r="E302" t="str">
        <f t="shared" si="119"/>
        <v xml:space="preserve">303  </v>
      </c>
      <c r="F302" t="str">
        <f>CLEAN("$1,000,000 - $1,999,999  ")</f>
        <v xml:space="preserve">$1,000,000 - $1,999,999  </v>
      </c>
      <c r="G302" t="str">
        <f t="shared" ref="G302:G308" si="123">CLEAN("LET")</f>
        <v>LET</v>
      </c>
      <c r="H302" t="str">
        <f t="shared" ref="H302:H308" si="124">CLEAN("LET CONSTRUCTION         ")</f>
        <v xml:space="preserve">LET CONSTRUCTION         </v>
      </c>
      <c r="I302" t="str">
        <f>CLEAN("CONST/RSRF25                       ")</f>
        <v xml:space="preserve">CONST/RSRF25                       </v>
      </c>
      <c r="J302" t="str">
        <f>CLEAN("STH 241")</f>
        <v>STH 241</v>
      </c>
      <c r="K302" t="str">
        <f>CLEAN("MILWAUKEE                     ")</f>
        <v xml:space="preserve">MILWAUKEE                     </v>
      </c>
      <c r="L302" t="str">
        <f>CLEAN("C GREENFIELD/MILWAUKEE, S 27TH ST  ")</f>
        <v xml:space="preserve">C GREENFIELD/MILWAUKEE, S 27TH ST  </v>
      </c>
      <c r="M302" t="str">
        <f>CLEAN("W BOTTSFORD AVE TO W HOWARD AVE    ")</f>
        <v xml:space="preserve">W BOTTSFORD AVE TO W HOWARD AVE    </v>
      </c>
      <c r="N302">
        <v>0.63300000000000001</v>
      </c>
      <c r="O302" t="str">
        <f t="shared" si="112"/>
        <v xml:space="preserve">          </v>
      </c>
      <c r="P302" t="str">
        <f t="shared" si="120"/>
        <v xml:space="preserve">STATE 3R                                                                                            </v>
      </c>
    </row>
    <row r="303" spans="1:16" x14ac:dyDescent="0.25">
      <c r="A303" t="str">
        <f t="shared" si="104"/>
        <v>10</v>
      </c>
      <c r="B303" t="str">
        <f t="shared" si="115"/>
        <v>22</v>
      </c>
      <c r="C303" s="1">
        <v>46126</v>
      </c>
      <c r="D303" t="str">
        <f>CLEAN("2290-24-71")</f>
        <v>2290-24-71</v>
      </c>
      <c r="E303" t="str">
        <f t="shared" si="119"/>
        <v xml:space="preserve">303  </v>
      </c>
      <c r="F303" t="str">
        <f t="shared" ref="F303:F308" si="125">CLEAN("$2,000,000 - $2,999,999  ")</f>
        <v xml:space="preserve">$2,000,000 - $2,999,999  </v>
      </c>
      <c r="G303" t="str">
        <f t="shared" si="123"/>
        <v>LET</v>
      </c>
      <c r="H303" t="str">
        <f t="shared" si="124"/>
        <v xml:space="preserve">LET CONSTRUCTION         </v>
      </c>
      <c r="I303" t="str">
        <f>CLEAN("CONST/RESURFACE                    ")</f>
        <v xml:space="preserve">CONST/RESURFACE                    </v>
      </c>
      <c r="J303" t="str">
        <f t="shared" ref="J303:J308" si="126">CLEAN("STH 038")</f>
        <v>STH 038</v>
      </c>
      <c r="K303" t="str">
        <f t="shared" ref="K303:K308" si="127">CLEAN("RACINE                        ")</f>
        <v xml:space="preserve">RACINE                        </v>
      </c>
      <c r="L303" t="str">
        <f>CLEAN("CALEDONIA-OAK CREEK                ")</f>
        <v xml:space="preserve">CALEDONIA-OAK CREEK                </v>
      </c>
      <c r="M303" t="str">
        <f>CLEAN("DUNKELOW RD TO LINWOOD RD          ")</f>
        <v xml:space="preserve">DUNKELOW RD TO LINWOOD RD          </v>
      </c>
      <c r="N303">
        <v>3.61</v>
      </c>
      <c r="O303" t="str">
        <f>CLEAN("2290-25-70")</f>
        <v>2290-25-70</v>
      </c>
      <c r="P303" t="str">
        <f t="shared" si="120"/>
        <v xml:space="preserve">STATE 3R                                                                                            </v>
      </c>
    </row>
    <row r="304" spans="1:16" x14ac:dyDescent="0.25">
      <c r="A304" t="str">
        <f t="shared" si="104"/>
        <v>10</v>
      </c>
      <c r="B304" t="str">
        <f t="shared" si="115"/>
        <v>22</v>
      </c>
      <c r="C304" s="1">
        <v>46126</v>
      </c>
      <c r="D304" t="str">
        <f>CLEAN("2290-24-71")</f>
        <v>2290-24-71</v>
      </c>
      <c r="E304" t="str">
        <f t="shared" si="119"/>
        <v xml:space="preserve">303  </v>
      </c>
      <c r="F304" t="str">
        <f t="shared" si="125"/>
        <v xml:space="preserve">$2,000,000 - $2,999,999  </v>
      </c>
      <c r="G304" t="str">
        <f t="shared" si="123"/>
        <v>LET</v>
      </c>
      <c r="H304" t="str">
        <f t="shared" si="124"/>
        <v xml:space="preserve">LET CONSTRUCTION         </v>
      </c>
      <c r="I304" t="str">
        <f>CLEAN("CONST/RESURFACE                    ")</f>
        <v xml:space="preserve">CONST/RESURFACE                    </v>
      </c>
      <c r="J304" t="str">
        <f t="shared" si="126"/>
        <v>STH 038</v>
      </c>
      <c r="K304" t="str">
        <f t="shared" si="127"/>
        <v xml:space="preserve">RACINE                        </v>
      </c>
      <c r="L304" t="str">
        <f>CLEAN("CALEDONIA-OAK CREEK                ")</f>
        <v xml:space="preserve">CALEDONIA-OAK CREEK                </v>
      </c>
      <c r="M304" t="str">
        <f>CLEAN("DUNKELOW RD TO LINWOOD RD          ")</f>
        <v xml:space="preserve">DUNKELOW RD TO LINWOOD RD          </v>
      </c>
      <c r="N304">
        <v>3.61</v>
      </c>
      <c r="O304" t="str">
        <f>CLEAN("2290-26-70")</f>
        <v>2290-26-70</v>
      </c>
      <c r="P304" t="str">
        <f t="shared" si="120"/>
        <v xml:space="preserve">STATE 3R                                                                                            </v>
      </c>
    </row>
    <row r="305" spans="1:16" x14ac:dyDescent="0.25">
      <c r="A305" t="str">
        <f t="shared" si="104"/>
        <v>10</v>
      </c>
      <c r="B305" t="str">
        <f t="shared" si="115"/>
        <v>22</v>
      </c>
      <c r="C305" s="1">
        <v>46126</v>
      </c>
      <c r="D305" t="str">
        <f>CLEAN("2290-25-70")</f>
        <v>2290-25-70</v>
      </c>
      <c r="E305" t="str">
        <f t="shared" si="119"/>
        <v xml:space="preserve">303  </v>
      </c>
      <c r="F305" t="str">
        <f t="shared" si="125"/>
        <v xml:space="preserve">$2,000,000 - $2,999,999  </v>
      </c>
      <c r="G305" t="str">
        <f t="shared" si="123"/>
        <v>LET</v>
      </c>
      <c r="H305" t="str">
        <f t="shared" si="124"/>
        <v xml:space="preserve">LET CONSTRUCTION         </v>
      </c>
      <c r="I305" t="str">
        <f>CLEAN("CONST/RECST                        ")</f>
        <v xml:space="preserve">CONST/RECST                        </v>
      </c>
      <c r="J305" t="str">
        <f t="shared" si="126"/>
        <v>STH 038</v>
      </c>
      <c r="K305" t="str">
        <f t="shared" si="127"/>
        <v xml:space="preserve">RACINE                        </v>
      </c>
      <c r="L305" t="str">
        <f>CLEAN("V CALEDONIA, NORTHWESTERN AVE      ")</f>
        <v xml:space="preserve">V CALEDONIA, NORTHWESTERN AVE      </v>
      </c>
      <c r="M305" t="str">
        <f>CLEAN("INTERSECTION WITH 4 MILE ROAD      ")</f>
        <v xml:space="preserve">INTERSECTION WITH 4 MILE ROAD      </v>
      </c>
      <c r="N305">
        <v>3.7999999999999999E-2</v>
      </c>
      <c r="O305" t="str">
        <f>CLEAN("2290-24-71")</f>
        <v>2290-24-71</v>
      </c>
      <c r="P305" t="str">
        <f>CLEAN("SAFETY (REGULAR HSIP)                                                                               ")</f>
        <v xml:space="preserve">SAFETY (REGULAR HSIP)                                                                               </v>
      </c>
    </row>
    <row r="306" spans="1:16" x14ac:dyDescent="0.25">
      <c r="A306" t="str">
        <f t="shared" si="104"/>
        <v>10</v>
      </c>
      <c r="B306" t="str">
        <f t="shared" si="115"/>
        <v>22</v>
      </c>
      <c r="C306" s="1">
        <v>46126</v>
      </c>
      <c r="D306" t="str">
        <f>CLEAN("2290-25-70")</f>
        <v>2290-25-70</v>
      </c>
      <c r="E306" t="str">
        <f t="shared" si="119"/>
        <v xml:space="preserve">303  </v>
      </c>
      <c r="F306" t="str">
        <f t="shared" si="125"/>
        <v xml:space="preserve">$2,000,000 - $2,999,999  </v>
      </c>
      <c r="G306" t="str">
        <f t="shared" si="123"/>
        <v>LET</v>
      </c>
      <c r="H306" t="str">
        <f t="shared" si="124"/>
        <v xml:space="preserve">LET CONSTRUCTION         </v>
      </c>
      <c r="I306" t="str">
        <f>CLEAN("CONST/RECST                        ")</f>
        <v xml:space="preserve">CONST/RECST                        </v>
      </c>
      <c r="J306" t="str">
        <f t="shared" si="126"/>
        <v>STH 038</v>
      </c>
      <c r="K306" t="str">
        <f t="shared" si="127"/>
        <v xml:space="preserve">RACINE                        </v>
      </c>
      <c r="L306" t="str">
        <f>CLEAN("V CALEDONIA, NORTHWESTERN AVE      ")</f>
        <v xml:space="preserve">V CALEDONIA, NORTHWESTERN AVE      </v>
      </c>
      <c r="M306" t="str">
        <f>CLEAN("INTERSECTION WITH 4 MILE ROAD      ")</f>
        <v xml:space="preserve">INTERSECTION WITH 4 MILE ROAD      </v>
      </c>
      <c r="N306">
        <v>3.7999999999999999E-2</v>
      </c>
      <c r="O306" t="str">
        <f>CLEAN("2290-26-70")</f>
        <v>2290-26-70</v>
      </c>
      <c r="P306" t="str">
        <f>CLEAN("SAFETY (REGULAR HSIP)                                                                               ")</f>
        <v xml:space="preserve">SAFETY (REGULAR HSIP)                                                                               </v>
      </c>
    </row>
    <row r="307" spans="1:16" x14ac:dyDescent="0.25">
      <c r="A307" t="str">
        <f t="shared" si="104"/>
        <v>10</v>
      </c>
      <c r="B307" t="str">
        <f t="shared" si="115"/>
        <v>22</v>
      </c>
      <c r="C307" s="1">
        <v>46126</v>
      </c>
      <c r="D307" t="str">
        <f>CLEAN("2290-26-70")</f>
        <v>2290-26-70</v>
      </c>
      <c r="E307" t="str">
        <f t="shared" si="119"/>
        <v xml:space="preserve">303  </v>
      </c>
      <c r="F307" t="str">
        <f t="shared" si="125"/>
        <v xml:space="preserve">$2,000,000 - $2,999,999  </v>
      </c>
      <c r="G307" t="str">
        <f t="shared" si="123"/>
        <v>LET</v>
      </c>
      <c r="H307" t="str">
        <f t="shared" si="124"/>
        <v xml:space="preserve">LET CONSTRUCTION         </v>
      </c>
      <c r="I307" t="str">
        <f>CLEAN("CONST/RECST                        ")</f>
        <v xml:space="preserve">CONST/RECST                        </v>
      </c>
      <c r="J307" t="str">
        <f t="shared" si="126"/>
        <v>STH 038</v>
      </c>
      <c r="K307" t="str">
        <f t="shared" si="127"/>
        <v xml:space="preserve">RACINE                        </v>
      </c>
      <c r="L307" t="str">
        <f>CLEAN("V CALEDONIA, NORTHWESTERN AVENUE   ")</f>
        <v xml:space="preserve">V CALEDONIA, NORTHWESTERN AVENUE   </v>
      </c>
      <c r="M307" t="str">
        <f>CLEAN("INTERSECTION WITH 5 MILE ROAD      ")</f>
        <v xml:space="preserve">INTERSECTION WITH 5 MILE ROAD      </v>
      </c>
      <c r="N307">
        <v>7.0000000000000001E-3</v>
      </c>
      <c r="O307" t="str">
        <f>CLEAN("2290-24-71")</f>
        <v>2290-24-71</v>
      </c>
      <c r="P307" t="str">
        <f>CLEAN("SAFETY (REGULAR HSIP)                                                                               ")</f>
        <v xml:space="preserve">SAFETY (REGULAR HSIP)                                                                               </v>
      </c>
    </row>
    <row r="308" spans="1:16" x14ac:dyDescent="0.25">
      <c r="A308" t="str">
        <f t="shared" si="104"/>
        <v>10</v>
      </c>
      <c r="B308" t="str">
        <f t="shared" si="115"/>
        <v>22</v>
      </c>
      <c r="C308" s="1">
        <v>46126</v>
      </c>
      <c r="D308" t="str">
        <f>CLEAN("2290-26-70")</f>
        <v>2290-26-70</v>
      </c>
      <c r="E308" t="str">
        <f t="shared" si="119"/>
        <v xml:space="preserve">303  </v>
      </c>
      <c r="F308" t="str">
        <f t="shared" si="125"/>
        <v xml:space="preserve">$2,000,000 - $2,999,999  </v>
      </c>
      <c r="G308" t="str">
        <f t="shared" si="123"/>
        <v>LET</v>
      </c>
      <c r="H308" t="str">
        <f t="shared" si="124"/>
        <v xml:space="preserve">LET CONSTRUCTION         </v>
      </c>
      <c r="I308" t="str">
        <f>CLEAN("CONST/RECST                        ")</f>
        <v xml:space="preserve">CONST/RECST                        </v>
      </c>
      <c r="J308" t="str">
        <f t="shared" si="126"/>
        <v>STH 038</v>
      </c>
      <c r="K308" t="str">
        <f t="shared" si="127"/>
        <v xml:space="preserve">RACINE                        </v>
      </c>
      <c r="L308" t="str">
        <f>CLEAN("V CALEDONIA, NORTHWESTERN AVENUE   ")</f>
        <v xml:space="preserve">V CALEDONIA, NORTHWESTERN AVENUE   </v>
      </c>
      <c r="M308" t="str">
        <f>CLEAN("INTERSECTION WITH 5 MILE ROAD      ")</f>
        <v xml:space="preserve">INTERSECTION WITH 5 MILE ROAD      </v>
      </c>
      <c r="N308">
        <v>7.0000000000000001E-3</v>
      </c>
      <c r="O308" t="str">
        <f>CLEAN("2290-25-70")</f>
        <v>2290-25-70</v>
      </c>
      <c r="P308" t="str">
        <f>CLEAN("SAFETY (REGULAR HSIP)                                                                               ")</f>
        <v xml:space="preserve">SAFETY (REGULAR HSIP)                                                                               </v>
      </c>
    </row>
    <row r="309" spans="1:16" x14ac:dyDescent="0.25">
      <c r="A309" t="str">
        <f t="shared" si="104"/>
        <v>10</v>
      </c>
      <c r="B309" t="str">
        <f t="shared" si="115"/>
        <v>22</v>
      </c>
      <c r="C309" s="1">
        <v>46016</v>
      </c>
      <c r="D309" t="str">
        <f>CLEAN("2300-22-20")</f>
        <v>2300-22-20</v>
      </c>
      <c r="E309" t="str">
        <f t="shared" si="119"/>
        <v xml:space="preserve">303  </v>
      </c>
      <c r="F309" t="str">
        <f>CLEAN("$0 - $99,999             ")</f>
        <v xml:space="preserve">$0 - $99,999             </v>
      </c>
      <c r="G309" t="str">
        <f>CLEAN("R/E")</f>
        <v>R/E</v>
      </c>
      <c r="H309" t="str">
        <f>CLEAN("NONLET CONSTR/REAL ESTATE")</f>
        <v>NONLET CONSTR/REAL ESTATE</v>
      </c>
      <c r="I309" t="str">
        <f>CLEAN("RE/RSRF15                          ")</f>
        <v xml:space="preserve">RE/RSRF15                          </v>
      </c>
      <c r="J309" t="str">
        <f>CLEAN("STH 167")</f>
        <v>STH 167</v>
      </c>
      <c r="K309" t="str">
        <f>CLEAN("WASHINGTON                    ")</f>
        <v xml:space="preserve">WASHINGTON                    </v>
      </c>
      <c r="L309" t="str">
        <f>CLEAN("V RICHFIELD, HOLY HILL ROAD        ")</f>
        <v xml:space="preserve">V RICHFIELD, HOLY HILL ROAD        </v>
      </c>
      <c r="M309" t="str">
        <f>CLEAN("STH 175 TO IH41                    ")</f>
        <v xml:space="preserve">STH 175 TO IH41                    </v>
      </c>
      <c r="N309">
        <v>0.42</v>
      </c>
      <c r="O309" t="str">
        <f t="shared" ref="O309:O327" si="128">CLEAN("          ")</f>
        <v xml:space="preserve">          </v>
      </c>
      <c r="P309" t="str">
        <f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310" spans="1:16" x14ac:dyDescent="0.25">
      <c r="A310" t="str">
        <f t="shared" si="104"/>
        <v>10</v>
      </c>
      <c r="B310" t="str">
        <f t="shared" si="115"/>
        <v>22</v>
      </c>
      <c r="C310" s="1">
        <v>46063</v>
      </c>
      <c r="D310" t="str">
        <f>CLEAN("2310-09-71")</f>
        <v>2310-09-71</v>
      </c>
      <c r="E310" t="str">
        <f t="shared" si="119"/>
        <v xml:space="preserve">303  </v>
      </c>
      <c r="F310" t="str">
        <f>CLEAN("$7,000,000 - $7,999,999  ")</f>
        <v xml:space="preserve">$7,000,000 - $7,999,999  </v>
      </c>
      <c r="G310" t="str">
        <f>CLEAN("LET")</f>
        <v>LET</v>
      </c>
      <c r="H310" t="str">
        <f>CLEAN("LET CONSTRUCTION         ")</f>
        <v xml:space="preserve">LET CONSTRUCTION         </v>
      </c>
      <c r="I310" t="str">
        <f>CLEAN("CONST/BRIDGE REHAB                 ")</f>
        <v xml:space="preserve">CONST/BRIDGE REHAB                 </v>
      </c>
      <c r="J310" t="str">
        <f t="shared" ref="J310:J317" si="129">CLEAN("STH 060")</f>
        <v>STH 060</v>
      </c>
      <c r="K310" t="str">
        <f>CLEAN("WASHINGTON                    ")</f>
        <v xml:space="preserve">WASHINGTON                    </v>
      </c>
      <c r="L310" t="str">
        <f>CLEAN("HARTFORD TO JACKSON                ")</f>
        <v xml:space="preserve">HARTFORD TO JACKSON                </v>
      </c>
      <c r="M310" t="str">
        <f>CLEAN("IH 41 I/C, B66-102/103             ")</f>
        <v xml:space="preserve">IH 41 I/C, B66-102/103             </v>
      </c>
      <c r="N310">
        <v>0.45300000000000001</v>
      </c>
      <c r="O310" t="str">
        <f t="shared" si="128"/>
        <v xml:space="preserve">          </v>
      </c>
      <c r="P310" t="str">
        <f>CLEAN("SAFETY (REGULAR HSIP)                                                                               ")</f>
        <v xml:space="preserve">SAFETY (REGULAR HSIP)                                                                               </v>
      </c>
    </row>
    <row r="311" spans="1:16" x14ac:dyDescent="0.25">
      <c r="A311" t="str">
        <f t="shared" si="104"/>
        <v>10</v>
      </c>
      <c r="B311" t="str">
        <f t="shared" ref="B311:B347" si="130">CLEAN("22")</f>
        <v>22</v>
      </c>
      <c r="C311" s="1">
        <v>46063</v>
      </c>
      <c r="D311" t="str">
        <f>CLEAN("2310-09-71")</f>
        <v>2310-09-71</v>
      </c>
      <c r="E311" t="str">
        <f t="shared" si="119"/>
        <v xml:space="preserve">303  </v>
      </c>
      <c r="F311" t="str">
        <f>CLEAN("$7,000,000 - $7,999,999  ")</f>
        <v xml:space="preserve">$7,000,000 - $7,999,999  </v>
      </c>
      <c r="G311" t="str">
        <f>CLEAN("LET")</f>
        <v>LET</v>
      </c>
      <c r="H311" t="str">
        <f>CLEAN("LET CONSTRUCTION         ")</f>
        <v xml:space="preserve">LET CONSTRUCTION         </v>
      </c>
      <c r="I311" t="str">
        <f>CLEAN("CONST/BRIDGE REHAB                 ")</f>
        <v xml:space="preserve">CONST/BRIDGE REHAB                 </v>
      </c>
      <c r="J311" t="str">
        <f t="shared" si="129"/>
        <v>STH 060</v>
      </c>
      <c r="K311" t="str">
        <f>CLEAN("WASHINGTON                    ")</f>
        <v xml:space="preserve">WASHINGTON                    </v>
      </c>
      <c r="L311" t="str">
        <f>CLEAN("HARTFORD TO JACKSON                ")</f>
        <v xml:space="preserve">HARTFORD TO JACKSON                </v>
      </c>
      <c r="M311" t="str">
        <f>CLEAN("IH 41 I/C, B66-102/103             ")</f>
        <v xml:space="preserve">IH 41 I/C, B66-102/103             </v>
      </c>
      <c r="N311">
        <v>0.45300000000000001</v>
      </c>
      <c r="O311" t="str">
        <f t="shared" si="128"/>
        <v xml:space="preserve">          </v>
      </c>
      <c r="P311" t="str">
        <f t="shared" ref="P311:P321" si="131"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312" spans="1:16" x14ac:dyDescent="0.25">
      <c r="A312" t="str">
        <f t="shared" si="104"/>
        <v>10</v>
      </c>
      <c r="B312" t="str">
        <f t="shared" si="130"/>
        <v>22</v>
      </c>
      <c r="C312" s="1">
        <v>46137</v>
      </c>
      <c r="D312" t="str">
        <f>CLEAN("2310-09-91")</f>
        <v>2310-09-91</v>
      </c>
      <c r="E312" t="str">
        <f t="shared" si="119"/>
        <v xml:space="preserve">303  </v>
      </c>
      <c r="F312" t="str">
        <f>CLEAN("$0 - $99,999             ")</f>
        <v xml:space="preserve">$0 - $99,999             </v>
      </c>
      <c r="G312" t="str">
        <f>CLEAN("SFA")</f>
        <v>SFA</v>
      </c>
      <c r="H312" t="str">
        <f t="shared" ref="H312:H320" si="132">CLEAN("NONLET CONSTR/REAL ESTATE")</f>
        <v>NONLET CONSTR/REAL ESTATE</v>
      </c>
      <c r="I312" t="str">
        <f>CLEAN("TRAFFIC MITIGATION                 ")</f>
        <v xml:space="preserve">TRAFFIC MITIGATION                 </v>
      </c>
      <c r="J312" t="str">
        <f t="shared" si="129"/>
        <v>STH 060</v>
      </c>
      <c r="K312" t="str">
        <f>CLEAN("WASHINGTON                    ")</f>
        <v xml:space="preserve">WASHINGTON                    </v>
      </c>
      <c r="L312" t="str">
        <f>CLEAN("HARTFORD TO JACKSON                ")</f>
        <v xml:space="preserve">HARTFORD TO JACKSON                </v>
      </c>
      <c r="M312" t="str">
        <f>CLEAN("IH41 I/C                           ")</f>
        <v xml:space="preserve">IH41 I/C                           </v>
      </c>
      <c r="N312">
        <v>0.45300000000000001</v>
      </c>
      <c r="O312" t="str">
        <f t="shared" si="128"/>
        <v xml:space="preserve">          </v>
      </c>
      <c r="P312" t="str">
        <f t="shared" si="131"/>
        <v xml:space="preserve">STATE 3R                                                                                            </v>
      </c>
    </row>
    <row r="313" spans="1:16" x14ac:dyDescent="0.25">
      <c r="A313" t="str">
        <f t="shared" si="104"/>
        <v>10</v>
      </c>
      <c r="B313" t="str">
        <f t="shared" si="130"/>
        <v>22</v>
      </c>
      <c r="C313" s="1">
        <v>45955</v>
      </c>
      <c r="D313" t="str">
        <f>CLEAN("2310-18-21")</f>
        <v>2310-18-21</v>
      </c>
      <c r="E313" t="str">
        <f t="shared" si="119"/>
        <v xml:space="preserve">303  </v>
      </c>
      <c r="F313" t="str">
        <f>CLEAN("$0 - $99,999             ")</f>
        <v xml:space="preserve">$0 - $99,999             </v>
      </c>
      <c r="G313" t="str">
        <f>CLEAN("R/E")</f>
        <v>R/E</v>
      </c>
      <c r="H313" t="str">
        <f t="shared" si="132"/>
        <v>NONLET CONSTR/REAL ESTATE</v>
      </c>
      <c r="I313" t="str">
        <f>CLEAN("RE/PSRS40                          ")</f>
        <v xml:space="preserve">RE/PSRS40                          </v>
      </c>
      <c r="J313" t="str">
        <f t="shared" si="129"/>
        <v>STH 060</v>
      </c>
      <c r="K313" t="str">
        <f>CLEAN("OZAUKEE                       ")</f>
        <v xml:space="preserve">OZAUKEE                       </v>
      </c>
      <c r="L313" t="str">
        <f>CLEAN("HARTFORD - GRAFTON                 ")</f>
        <v xml:space="preserve">HARTFORD - GRAFTON                 </v>
      </c>
      <c r="M313" t="str">
        <f>CLEAN("FIVE CORNERS DR TO 1ST AVENUE      ")</f>
        <v xml:space="preserve">FIVE CORNERS DR TO 1ST AVENUE      </v>
      </c>
      <c r="N313">
        <v>2.2330000000000001</v>
      </c>
      <c r="O313" t="str">
        <f t="shared" si="128"/>
        <v xml:space="preserve">          </v>
      </c>
      <c r="P313" t="str">
        <f t="shared" si="131"/>
        <v xml:space="preserve">STATE 3R                                                                                            </v>
      </c>
    </row>
    <row r="314" spans="1:16" x14ac:dyDescent="0.25">
      <c r="A314" t="str">
        <f t="shared" si="104"/>
        <v>10</v>
      </c>
      <c r="B314" t="str">
        <f t="shared" si="130"/>
        <v>22</v>
      </c>
      <c r="C314" s="1">
        <v>45955</v>
      </c>
      <c r="D314" t="str">
        <f>CLEAN("2310-18-22")</f>
        <v>2310-18-22</v>
      </c>
      <c r="E314" t="str">
        <f t="shared" si="119"/>
        <v xml:space="preserve">303  </v>
      </c>
      <c r="F314" t="str">
        <f>CLEAN("$0 - $99,999             ")</f>
        <v xml:space="preserve">$0 - $99,999             </v>
      </c>
      <c r="G314" t="str">
        <f>CLEAN("R/E")</f>
        <v>R/E</v>
      </c>
      <c r="H314" t="str">
        <f t="shared" si="132"/>
        <v>NONLET CONSTR/REAL ESTATE</v>
      </c>
      <c r="I314" t="str">
        <f>CLEAN("RE/PVRPLA                          ")</f>
        <v xml:space="preserve">RE/PVRPLA                          </v>
      </c>
      <c r="J314" t="str">
        <f t="shared" si="129"/>
        <v>STH 060</v>
      </c>
      <c r="K314" t="str">
        <f>CLEAN("OZAUKEE                       ")</f>
        <v xml:space="preserve">OZAUKEE                       </v>
      </c>
      <c r="L314" t="str">
        <f>CLEAN("V GRAFTON, WASHINGTON ST           ")</f>
        <v xml:space="preserve">V GRAFTON, WASHINGTON ST           </v>
      </c>
      <c r="M314" t="str">
        <f>CLEAN("1ST AVE TO 10TH AVE                ")</f>
        <v xml:space="preserve">1ST AVE TO 10TH AVE                </v>
      </c>
      <c r="N314">
        <v>0.50700000000000001</v>
      </c>
      <c r="O314" t="str">
        <f t="shared" si="128"/>
        <v xml:space="preserve">          </v>
      </c>
      <c r="P314" t="str">
        <f t="shared" si="131"/>
        <v xml:space="preserve">STATE 3R                                                                                            </v>
      </c>
    </row>
    <row r="315" spans="1:16" x14ac:dyDescent="0.25">
      <c r="A315" t="str">
        <f t="shared" si="104"/>
        <v>10</v>
      </c>
      <c r="B315" t="str">
        <f t="shared" si="130"/>
        <v>22</v>
      </c>
      <c r="C315" s="1">
        <v>46078</v>
      </c>
      <c r="D315" t="str">
        <f>CLEAN("2310-18-51")</f>
        <v>2310-18-51</v>
      </c>
      <c r="E315" t="str">
        <f t="shared" si="119"/>
        <v xml:space="preserve">303  </v>
      </c>
      <c r="F315" t="str">
        <f>CLEAN("$750,000 - $999,999      ")</f>
        <v xml:space="preserve">$750,000 - $999,999      </v>
      </c>
      <c r="G315" t="str">
        <f>CLEAN("R/R")</f>
        <v>R/R</v>
      </c>
      <c r="H315" t="str">
        <f t="shared" si="132"/>
        <v>NONLET CONSTR/REAL ESTATE</v>
      </c>
      <c r="I315" t="str">
        <f>CLEAN("RR/WIS&amp;SOUTHERN/XING SGNLS/387165T ")</f>
        <v xml:space="preserve">RR/WIS&amp;SOUTHERN/XING SGNLS/387165T </v>
      </c>
      <c r="J315" t="str">
        <f t="shared" si="129"/>
        <v>STH 060</v>
      </c>
      <c r="K315" t="str">
        <f>CLEAN("OZAUKEE                       ")</f>
        <v xml:space="preserve">OZAUKEE                       </v>
      </c>
      <c r="L315" t="str">
        <f>CLEAN("V GRAFTON, WASHINGTON ST           ")</f>
        <v xml:space="preserve">V GRAFTON, WASHINGTON ST           </v>
      </c>
      <c r="M315" t="str">
        <f>CLEAN("1ST AVE TO 10TH AVE                ")</f>
        <v xml:space="preserve">1ST AVE TO 10TH AVE                </v>
      </c>
      <c r="N315">
        <v>0</v>
      </c>
      <c r="O315" t="str">
        <f t="shared" si="128"/>
        <v xml:space="preserve">          </v>
      </c>
      <c r="P315" t="str">
        <f t="shared" si="131"/>
        <v xml:space="preserve">STATE 3R                                                                                            </v>
      </c>
    </row>
    <row r="316" spans="1:16" x14ac:dyDescent="0.25">
      <c r="A316" t="str">
        <f t="shared" si="104"/>
        <v>10</v>
      </c>
      <c r="B316" t="str">
        <f t="shared" si="130"/>
        <v>22</v>
      </c>
      <c r="C316" s="1">
        <v>45894</v>
      </c>
      <c r="D316" t="str">
        <f>CLEAN("2310-25-20")</f>
        <v>2310-25-20</v>
      </c>
      <c r="E316" t="str">
        <f t="shared" si="119"/>
        <v xml:space="preserve">303  </v>
      </c>
      <c r="F316" t="str">
        <f>CLEAN("$100,000-$249,999        ")</f>
        <v xml:space="preserve">$100,000-$249,999        </v>
      </c>
      <c r="G316" t="str">
        <f>CLEAN("R/E")</f>
        <v>R/E</v>
      </c>
      <c r="H316" t="str">
        <f t="shared" si="132"/>
        <v>NONLET CONSTR/REAL ESTATE</v>
      </c>
      <c r="I316" t="str">
        <f>CLEAN("RE/RSRF25                          ")</f>
        <v xml:space="preserve">RE/RSRF25                          </v>
      </c>
      <c r="J316" t="str">
        <f t="shared" si="129"/>
        <v>STH 060</v>
      </c>
      <c r="K316" t="str">
        <f>CLEAN("WASHINGTON                    ")</f>
        <v xml:space="preserve">WASHINGTON                    </v>
      </c>
      <c r="L316" t="str">
        <f>CLEAN("HARTFORD TO JACKSON                ")</f>
        <v xml:space="preserve">HARTFORD TO JACKSON                </v>
      </c>
      <c r="M316" t="str">
        <f>CLEAN("WAYSIDE DR TO IH 41 I/C            ")</f>
        <v xml:space="preserve">WAYSIDE DR TO IH 41 I/C            </v>
      </c>
      <c r="N316">
        <v>4.4610000000000003</v>
      </c>
      <c r="O316" t="str">
        <f t="shared" si="128"/>
        <v xml:space="preserve">          </v>
      </c>
      <c r="P316" t="str">
        <f t="shared" si="131"/>
        <v xml:space="preserve">STATE 3R                                                                                            </v>
      </c>
    </row>
    <row r="317" spans="1:16" x14ac:dyDescent="0.25">
      <c r="A317" t="str">
        <f t="shared" si="104"/>
        <v>10</v>
      </c>
      <c r="B317" t="str">
        <f t="shared" si="130"/>
        <v>22</v>
      </c>
      <c r="C317" s="1">
        <v>45894</v>
      </c>
      <c r="D317" t="str">
        <f>CLEAN("2310-25-21")</f>
        <v>2310-25-21</v>
      </c>
      <c r="E317" t="str">
        <f t="shared" si="119"/>
        <v xml:space="preserve">303  </v>
      </c>
      <c r="F317" t="str">
        <f>CLEAN("$100,000-$249,999        ")</f>
        <v xml:space="preserve">$100,000-$249,999        </v>
      </c>
      <c r="G317" t="str">
        <f>CLEAN("R/E")</f>
        <v>R/E</v>
      </c>
      <c r="H317" t="str">
        <f t="shared" si="132"/>
        <v>NONLET CONSTR/REAL ESTATE</v>
      </c>
      <c r="I317" t="str">
        <f>CLEAN("RE/RSRF25                          ")</f>
        <v xml:space="preserve">RE/RSRF25                          </v>
      </c>
      <c r="J317" t="str">
        <f t="shared" si="129"/>
        <v>STH 060</v>
      </c>
      <c r="K317" t="str">
        <f>CLEAN("WASHINGTON                    ")</f>
        <v xml:space="preserve">WASHINGTON                    </v>
      </c>
      <c r="L317" t="str">
        <f>CLEAN("HARTFORD TO JACKSON                ")</f>
        <v xml:space="preserve">HARTFORD TO JACKSON                </v>
      </c>
      <c r="M317" t="str">
        <f>CLEAN("WAYSIDE DR TO 1300' E OF IH 41 I/C ")</f>
        <v xml:space="preserve">WAYSIDE DR TO 1300' E OF IH 41 I/C </v>
      </c>
      <c r="N317">
        <v>4.7279999999999998</v>
      </c>
      <c r="O317" t="str">
        <f t="shared" si="128"/>
        <v xml:space="preserve">          </v>
      </c>
      <c r="P317" t="str">
        <f t="shared" si="131"/>
        <v xml:space="preserve">STATE 3R                                                                                            </v>
      </c>
    </row>
    <row r="318" spans="1:16" x14ac:dyDescent="0.25">
      <c r="A318" t="str">
        <f t="shared" si="104"/>
        <v>10</v>
      </c>
      <c r="B318" t="str">
        <f t="shared" si="130"/>
        <v>22</v>
      </c>
      <c r="C318" s="1">
        <v>45955</v>
      </c>
      <c r="D318" t="str">
        <f>CLEAN("2350-28-20")</f>
        <v>2350-28-20</v>
      </c>
      <c r="E318" t="str">
        <f t="shared" si="119"/>
        <v xml:space="preserve">303  </v>
      </c>
      <c r="F318" t="str">
        <f>CLEAN("$500,000 - $749,999      ")</f>
        <v xml:space="preserve">$500,000 - $749,999      </v>
      </c>
      <c r="G318" t="str">
        <f>CLEAN("R/E")</f>
        <v>R/E</v>
      </c>
      <c r="H318" t="str">
        <f t="shared" si="132"/>
        <v>NONLET CONSTR/REAL ESTATE</v>
      </c>
      <c r="I318" t="str">
        <f>CLEAN("RE/PAVE REPLACE                    ")</f>
        <v xml:space="preserve">RE/PAVE REPLACE                    </v>
      </c>
      <c r="J318" t="str">
        <f>CLEAN("STH 032")</f>
        <v>STH 032</v>
      </c>
      <c r="K318" t="str">
        <f>CLEAN("MILWAUKEE                     ")</f>
        <v xml:space="preserve">MILWAUKEE                     </v>
      </c>
      <c r="L318" t="str">
        <f>CLEAN("C OF OAK CREEK, S CHICAGO RD       ")</f>
        <v xml:space="preserve">C OF OAK CREEK, S CHICAGO RD       </v>
      </c>
      <c r="M318" t="str">
        <f>CLEAN("S COUNTY LINE TO FOREST HILL AVE   ")</f>
        <v xml:space="preserve">S COUNTY LINE TO FOREST HILL AVE   </v>
      </c>
      <c r="N318">
        <v>3.62</v>
      </c>
      <c r="O318" t="str">
        <f t="shared" si="128"/>
        <v xml:space="preserve">          </v>
      </c>
      <c r="P318" t="str">
        <f t="shared" si="131"/>
        <v xml:space="preserve">STATE 3R                                                                                            </v>
      </c>
    </row>
    <row r="319" spans="1:16" x14ac:dyDescent="0.25">
      <c r="A319" t="str">
        <f t="shared" ref="A319:A347" si="133">CLEAN("10")</f>
        <v>10</v>
      </c>
      <c r="B319" t="str">
        <f t="shared" si="130"/>
        <v>22</v>
      </c>
      <c r="C319" s="1">
        <v>46259</v>
      </c>
      <c r="D319" t="str">
        <f>CLEAN("2370-00-50")</f>
        <v>2370-00-50</v>
      </c>
      <c r="E319" t="str">
        <f t="shared" si="119"/>
        <v xml:space="preserve">303  </v>
      </c>
      <c r="F319" t="str">
        <f>CLEAN("$0 - $99,999             ")</f>
        <v xml:space="preserve">$0 - $99,999             </v>
      </c>
      <c r="G319" t="str">
        <f>CLEAN("R/R")</f>
        <v>R/R</v>
      </c>
      <c r="H319" t="str">
        <f t="shared" si="132"/>
        <v>NONLET CONSTR/REAL ESTATE</v>
      </c>
      <c r="I319" t="str">
        <f>CLEAN("RR/UPRR 178794E MP 304.32          ")</f>
        <v xml:space="preserve">RR/UPRR 178794E MP 304.32          </v>
      </c>
      <c r="J319" t="str">
        <f>CLEAN("STH 164")</f>
        <v>STH 164</v>
      </c>
      <c r="K319" t="str">
        <f>CLEAN("WAUKESHA                      ")</f>
        <v xml:space="preserve">WAUKESHA                      </v>
      </c>
      <c r="L319" t="str">
        <f>CLEAN("PEWAUKEE ROAD (WAUKESHA - SLINGER) ")</f>
        <v xml:space="preserve">PEWAUKEE ROAD (WAUKESHA - SLINGER) </v>
      </c>
      <c r="M319" t="str">
        <f>CLEAN("SWAN ROAD TO NORTH COUNTY LINE     ")</f>
        <v xml:space="preserve">SWAN ROAD TO NORTH COUNTY LINE     </v>
      </c>
      <c r="N319">
        <v>0</v>
      </c>
      <c r="O319" t="str">
        <f t="shared" si="128"/>
        <v xml:space="preserve">          </v>
      </c>
      <c r="P319" t="str">
        <f t="shared" si="131"/>
        <v xml:space="preserve">STATE 3R                                                                                            </v>
      </c>
    </row>
    <row r="320" spans="1:16" x14ac:dyDescent="0.25">
      <c r="A320" t="str">
        <f t="shared" si="133"/>
        <v>10</v>
      </c>
      <c r="B320" t="str">
        <f t="shared" si="130"/>
        <v>22</v>
      </c>
      <c r="C320" s="1">
        <v>46259</v>
      </c>
      <c r="D320" t="str">
        <f>CLEAN("2370-00-51")</f>
        <v>2370-00-51</v>
      </c>
      <c r="E320" t="str">
        <f t="shared" si="119"/>
        <v xml:space="preserve">303  </v>
      </c>
      <c r="F320" t="str">
        <f>CLEAN("$500,000 - $749,999      ")</f>
        <v xml:space="preserve">$500,000 - $749,999      </v>
      </c>
      <c r="G320" t="str">
        <f>CLEAN("R/R")</f>
        <v>R/R</v>
      </c>
      <c r="H320" t="str">
        <f t="shared" si="132"/>
        <v>NONLET CONSTR/REAL ESTATE</v>
      </c>
      <c r="I320" t="str">
        <f>CLEAN("RR/UPRR 178794E MP 304.32          ")</f>
        <v xml:space="preserve">RR/UPRR 178794E MP 304.32          </v>
      </c>
      <c r="J320" t="str">
        <f>CLEAN("STH 164")</f>
        <v>STH 164</v>
      </c>
      <c r="K320" t="str">
        <f>CLEAN("WAUKESHA                      ")</f>
        <v xml:space="preserve">WAUKESHA                      </v>
      </c>
      <c r="L320" t="str">
        <f>CLEAN("PEWAUKEE ROAD (WAUKESHA - SLINGER) ")</f>
        <v xml:space="preserve">PEWAUKEE ROAD (WAUKESHA - SLINGER) </v>
      </c>
      <c r="M320" t="str">
        <f>CLEAN("SWAN ROAD TO NORTH COUNTY LINE     ")</f>
        <v xml:space="preserve">SWAN ROAD TO NORTH COUNTY LINE     </v>
      </c>
      <c r="N320">
        <v>0</v>
      </c>
      <c r="O320" t="str">
        <f t="shared" si="128"/>
        <v xml:space="preserve">          </v>
      </c>
      <c r="P320" t="str">
        <f t="shared" si="131"/>
        <v xml:space="preserve">STATE 3R                                                                                            </v>
      </c>
    </row>
    <row r="321" spans="1:16" x14ac:dyDescent="0.25">
      <c r="A321" t="str">
        <f t="shared" si="133"/>
        <v>10</v>
      </c>
      <c r="B321" t="str">
        <f t="shared" si="130"/>
        <v>22</v>
      </c>
      <c r="C321" s="1">
        <v>46063</v>
      </c>
      <c r="D321" t="str">
        <f>CLEAN("2390-08-70")</f>
        <v>2390-08-70</v>
      </c>
      <c r="E321" t="str">
        <f t="shared" si="119"/>
        <v xml:space="preserve">303  </v>
      </c>
      <c r="F321" t="str">
        <f>CLEAN("$6,000,000 - $6,999,999  ")</f>
        <v xml:space="preserve">$6,000,000 - $6,999,999  </v>
      </c>
      <c r="G321" t="str">
        <f t="shared" ref="G321:G326" si="134">CLEAN("LET")</f>
        <v>LET</v>
      </c>
      <c r="H321" t="str">
        <f t="shared" ref="H321:H326" si="135">CLEAN("LET CONSTRUCTION         ")</f>
        <v xml:space="preserve">LET CONSTRUCTION         </v>
      </c>
      <c r="I321" t="str">
        <f>CLEAN("CONST/PATCH,REPAIR,DIAMOND GRIND   ")</f>
        <v xml:space="preserve">CONST/PATCH,REPAIR,DIAMOND GRIND   </v>
      </c>
      <c r="J321" t="str">
        <f>CLEAN("STH 031")</f>
        <v>STH 031</v>
      </c>
      <c r="K321" t="str">
        <f>CLEAN("KENOSHA                       ")</f>
        <v xml:space="preserve">KENOSHA                       </v>
      </c>
      <c r="L321" t="str">
        <f>CLEAN("PLEASANT PRAIRIE - CALEDONIA       ")</f>
        <v xml:space="preserve">PLEASANT PRAIRIE - CALEDONIA       </v>
      </c>
      <c r="M321" t="str">
        <f>CLEAN("IL STATE LINE TO STH 50            ")</f>
        <v xml:space="preserve">IL STATE LINE TO STH 50            </v>
      </c>
      <c r="N321">
        <v>5.1280000000000001</v>
      </c>
      <c r="O321" t="str">
        <f t="shared" si="128"/>
        <v xml:space="preserve">          </v>
      </c>
      <c r="P321" t="str">
        <f t="shared" si="131"/>
        <v xml:space="preserve">STATE 3R                                                                                            </v>
      </c>
    </row>
    <row r="322" spans="1:16" x14ac:dyDescent="0.25">
      <c r="A322" t="str">
        <f t="shared" si="133"/>
        <v>10</v>
      </c>
      <c r="B322" t="str">
        <f t="shared" si="130"/>
        <v>22</v>
      </c>
      <c r="C322" s="1">
        <v>46063</v>
      </c>
      <c r="D322" t="str">
        <f>CLEAN("2390-09-73")</f>
        <v>2390-09-73</v>
      </c>
      <c r="E322" t="str">
        <f>CLEAN("206  ")</f>
        <v xml:space="preserve">206  </v>
      </c>
      <c r="F322" t="str">
        <f>CLEAN("$3,000,000 - $3,999,999  ")</f>
        <v xml:space="preserve">$3,000,000 - $3,999,999  </v>
      </c>
      <c r="G322" t="str">
        <f t="shared" si="134"/>
        <v>LET</v>
      </c>
      <c r="H322" t="str">
        <f t="shared" si="135"/>
        <v xml:space="preserve">LET CONSTRUCTION         </v>
      </c>
      <c r="I322" t="str">
        <f>CLEAN("CONST/RECONSTRUCT NO ADDED CAPACITY")</f>
        <v>CONST/RECONSTRUCT NO ADDED CAPACITY</v>
      </c>
      <c r="J322" t="str">
        <f>CLEAN("CTH C  ")</f>
        <v xml:space="preserve">CTH C  </v>
      </c>
      <c r="K322" t="str">
        <f>CLEAN("RACINE                        ")</f>
        <v xml:space="preserve">RACINE                        </v>
      </c>
      <c r="L322" t="str">
        <f>CLEAN("MOUNT PLEASANT - RACINE            ")</f>
        <v xml:space="preserve">MOUNT PLEASANT - RACINE            </v>
      </c>
      <c r="M322" t="str">
        <f>CLEAN("NORTH OHIO STREET TO FAIRWAY DRIVE ")</f>
        <v xml:space="preserve">NORTH OHIO STREET TO FAIRWAY DRIVE </v>
      </c>
      <c r="N322">
        <v>0.60899999999999999</v>
      </c>
      <c r="O322" t="str">
        <f t="shared" si="128"/>
        <v xml:space="preserve">          </v>
      </c>
      <c r="P322" t="str">
        <f>CLEAN("STP URBAN 50,000 - 200,000                                                                          ")</f>
        <v xml:space="preserve">STP URBAN 50,000 - 200,000                                                                          </v>
      </c>
    </row>
    <row r="323" spans="1:16" x14ac:dyDescent="0.25">
      <c r="A323" t="str">
        <f t="shared" si="133"/>
        <v>10</v>
      </c>
      <c r="B323" t="str">
        <f t="shared" si="130"/>
        <v>22</v>
      </c>
      <c r="C323" s="1">
        <v>46035</v>
      </c>
      <c r="D323" t="str">
        <f>CLEAN("2390-12-70")</f>
        <v>2390-12-70</v>
      </c>
      <c r="E323" t="str">
        <f>CLEAN("303  ")</f>
        <v xml:space="preserve">303  </v>
      </c>
      <c r="F323" t="str">
        <f>CLEAN("$20,000,000 - $24,999,999")</f>
        <v>$20,000,000 - $24,999,999</v>
      </c>
      <c r="G323" t="str">
        <f t="shared" si="134"/>
        <v>LET</v>
      </c>
      <c r="H323" t="str">
        <f t="shared" si="135"/>
        <v xml:space="preserve">LET CONSTRUCTION         </v>
      </c>
      <c r="I323" t="str">
        <f>CLEAN("CONST/RECONSTRUCT                  ")</f>
        <v xml:space="preserve">CONST/RECONSTRUCT                  </v>
      </c>
      <c r="J323" t="str">
        <f>CLEAN("STH 031")</f>
        <v>STH 031</v>
      </c>
      <c r="K323" t="str">
        <f>CLEAN("RACINE                        ")</f>
        <v xml:space="preserve">RACINE                        </v>
      </c>
      <c r="L323" t="str">
        <f>CLEAN("PLEASANT PRAIRIE - CALEDONIA       ")</f>
        <v xml:space="preserve">PLEASANT PRAIRIE - CALEDONIA       </v>
      </c>
      <c r="M323" t="str">
        <f>CLEAN("STH 11 TO STH 20                   ")</f>
        <v xml:space="preserve">STH 11 TO STH 20                   </v>
      </c>
      <c r="N323">
        <v>1.52</v>
      </c>
      <c r="O323" t="str">
        <f t="shared" si="128"/>
        <v xml:space="preserve">          </v>
      </c>
      <c r="P323" t="str">
        <f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324" spans="1:16" x14ac:dyDescent="0.25">
      <c r="A324" t="str">
        <f t="shared" si="133"/>
        <v>10</v>
      </c>
      <c r="B324" t="str">
        <f t="shared" si="130"/>
        <v>22</v>
      </c>
      <c r="C324" s="1">
        <v>46063</v>
      </c>
      <c r="D324" t="str">
        <f>CLEAN("2395-07-71")</f>
        <v>2395-07-71</v>
      </c>
      <c r="E324" t="str">
        <f>CLEAN("205  ")</f>
        <v xml:space="preserve">205  </v>
      </c>
      <c r="F324" t="str">
        <f>CLEAN("$750,000 - $999,999      ")</f>
        <v xml:space="preserve">$750,000 - $999,999      </v>
      </c>
      <c r="G324" t="str">
        <f t="shared" si="134"/>
        <v>LET</v>
      </c>
      <c r="H324" t="str">
        <f t="shared" si="135"/>
        <v xml:space="preserve">LET CONSTRUCTION         </v>
      </c>
      <c r="I324" t="str">
        <f>CLEAN("CONST/BRIDGE REPLACEMENT           ")</f>
        <v xml:space="preserve">CONST/BRIDGE REPLACEMENT           </v>
      </c>
      <c r="J324" t="str">
        <f>CLEAN("LOC STR")</f>
        <v>LOC STR</v>
      </c>
      <c r="K324" t="str">
        <f t="shared" ref="K324:K330" si="136">CLEAN("MILWAUKEE                     ")</f>
        <v xml:space="preserve">MILWAUKEE                     </v>
      </c>
      <c r="L324" t="str">
        <f>CLEAN("C GREENFIELD - W HOWARD AVENUE     ")</f>
        <v xml:space="preserve">C GREENFIELD - W HOWARD AVENUE     </v>
      </c>
      <c r="M324" t="str">
        <f>CLEAN("BRIDGE OVER MINER CREEK B-40-0532  ")</f>
        <v xml:space="preserve">BRIDGE OVER MINER CREEK B-40-0532  </v>
      </c>
      <c r="N324">
        <v>0</v>
      </c>
      <c r="O324" t="str">
        <f t="shared" si="128"/>
        <v xml:space="preserve">          </v>
      </c>
      <c r="P324" t="str">
        <f>CLEAN("LOCAL BRIDGES                                                                                       ")</f>
        <v xml:space="preserve">LOCAL BRIDGES                                                                                       </v>
      </c>
    </row>
    <row r="325" spans="1:16" x14ac:dyDescent="0.25">
      <c r="A325" t="str">
        <f t="shared" si="133"/>
        <v>10</v>
      </c>
      <c r="B325" t="str">
        <f t="shared" si="130"/>
        <v>22</v>
      </c>
      <c r="C325" s="1">
        <v>46063</v>
      </c>
      <c r="D325" t="str">
        <f>CLEAN("2410-10-70")</f>
        <v>2410-10-70</v>
      </c>
      <c r="E325" t="str">
        <f>CLEAN("303  ")</f>
        <v xml:space="preserve">303  </v>
      </c>
      <c r="F325" t="str">
        <f>CLEAN("$13,000,000 - $13,999,999")</f>
        <v>$13,000,000 - $13,999,999</v>
      </c>
      <c r="G325" t="str">
        <f t="shared" si="134"/>
        <v>LET</v>
      </c>
      <c r="H325" t="str">
        <f t="shared" si="135"/>
        <v xml:space="preserve">LET CONSTRUCTION         </v>
      </c>
      <c r="I325" t="str">
        <f>CLEAN("CONST/PAVEMENT REPLACEMENT         ")</f>
        <v xml:space="preserve">CONST/PAVEMENT REPLACEMENT         </v>
      </c>
      <c r="J325" t="str">
        <f>CLEAN("STH 059")</f>
        <v>STH 059</v>
      </c>
      <c r="K325" t="str">
        <f t="shared" si="136"/>
        <v xml:space="preserve">MILWAUKEE                     </v>
      </c>
      <c r="L325" t="str">
        <f>CLEAN("C MILWAUKEE, W NATIONAL AVE        ")</f>
        <v xml:space="preserve">C MILWAUKEE, W NATIONAL AVE        </v>
      </c>
      <c r="M325" t="str">
        <f>CLEAN("39TH ST TO 27TH ST                 ")</f>
        <v xml:space="preserve">39TH ST TO 27TH ST                 </v>
      </c>
      <c r="N325">
        <v>0.755</v>
      </c>
      <c r="O325" t="str">
        <f t="shared" si="128"/>
        <v xml:space="preserve">          </v>
      </c>
      <c r="P325" t="str">
        <f>CLEAN("COMMUNITY SENSITIVE DESIGN                                                                          ")</f>
        <v xml:space="preserve">COMMUNITY SENSITIVE DESIGN                                                                          </v>
      </c>
    </row>
    <row r="326" spans="1:16" x14ac:dyDescent="0.25">
      <c r="A326" t="str">
        <f t="shared" si="133"/>
        <v>10</v>
      </c>
      <c r="B326" t="str">
        <f t="shared" si="130"/>
        <v>22</v>
      </c>
      <c r="C326" s="1">
        <v>46063</v>
      </c>
      <c r="D326" t="str">
        <f>CLEAN("2410-10-70")</f>
        <v>2410-10-70</v>
      </c>
      <c r="E326" t="str">
        <f>CLEAN("303  ")</f>
        <v xml:space="preserve">303  </v>
      </c>
      <c r="F326" t="str">
        <f>CLEAN("$13,000,000 - $13,999,999")</f>
        <v>$13,000,000 - $13,999,999</v>
      </c>
      <c r="G326" t="str">
        <f t="shared" si="134"/>
        <v>LET</v>
      </c>
      <c r="H326" t="str">
        <f t="shared" si="135"/>
        <v xml:space="preserve">LET CONSTRUCTION         </v>
      </c>
      <c r="I326" t="str">
        <f>CLEAN("CONST/PAVEMENT REPLACEMENT         ")</f>
        <v xml:space="preserve">CONST/PAVEMENT REPLACEMENT         </v>
      </c>
      <c r="J326" t="str">
        <f>CLEAN("STH 059")</f>
        <v>STH 059</v>
      </c>
      <c r="K326" t="str">
        <f t="shared" si="136"/>
        <v xml:space="preserve">MILWAUKEE                     </v>
      </c>
      <c r="L326" t="str">
        <f>CLEAN("C MILWAUKEE, W NATIONAL AVE        ")</f>
        <v xml:space="preserve">C MILWAUKEE, W NATIONAL AVE        </v>
      </c>
      <c r="M326" t="str">
        <f>CLEAN("39TH ST TO 27TH ST                 ")</f>
        <v xml:space="preserve">39TH ST TO 27TH ST                 </v>
      </c>
      <c r="N326">
        <v>0.755</v>
      </c>
      <c r="O326" t="str">
        <f t="shared" si="128"/>
        <v xml:space="preserve">          </v>
      </c>
      <c r="P326" t="str">
        <f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327" spans="1:16" x14ac:dyDescent="0.25">
      <c r="A327" t="str">
        <f t="shared" si="133"/>
        <v>10</v>
      </c>
      <c r="B327" t="str">
        <f t="shared" si="130"/>
        <v>22</v>
      </c>
      <c r="C327" s="1">
        <v>45925</v>
      </c>
      <c r="D327" t="str">
        <f>CLEAN("2410-10-90")</f>
        <v>2410-10-90</v>
      </c>
      <c r="E327" t="str">
        <f>CLEAN("303  ")</f>
        <v xml:space="preserve">303  </v>
      </c>
      <c r="F327" t="str">
        <f>CLEAN("$0 - $99,999             ")</f>
        <v xml:space="preserve">$0 - $99,999             </v>
      </c>
      <c r="G327" t="str">
        <f>CLEAN("MIS")</f>
        <v>MIS</v>
      </c>
      <c r="H327" t="str">
        <f>CLEAN("NONLET CONSTR/REAL ESTATE")</f>
        <v>NONLET CONSTR/REAL ESTATE</v>
      </c>
      <c r="I327" t="str">
        <f>CLEAN("PROCUREMENT/PERM COUNTER EQUIPMENT ")</f>
        <v xml:space="preserve">PROCUREMENT/PERM COUNTER EQUIPMENT </v>
      </c>
      <c r="J327" t="str">
        <f>CLEAN("STH 059")</f>
        <v>STH 059</v>
      </c>
      <c r="K327" t="str">
        <f t="shared" si="136"/>
        <v xml:space="preserve">MILWAUKEE                     </v>
      </c>
      <c r="L327" t="str">
        <f>CLEAN("C MILWAUKEE, W NATIONAL AVE        ")</f>
        <v xml:space="preserve">C MILWAUKEE, W NATIONAL AVE        </v>
      </c>
      <c r="M327" t="str">
        <f>CLEAN("39TH ST TO 1ST ST                  ")</f>
        <v xml:space="preserve">39TH ST TO 1ST ST                  </v>
      </c>
      <c r="N327">
        <v>2.62</v>
      </c>
      <c r="O327" t="str">
        <f t="shared" si="128"/>
        <v xml:space="preserve">          </v>
      </c>
      <c r="P327" t="str">
        <f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328" spans="1:16" x14ac:dyDescent="0.25">
      <c r="A328" t="str">
        <f t="shared" si="133"/>
        <v>10</v>
      </c>
      <c r="B328" t="str">
        <f t="shared" si="130"/>
        <v>22</v>
      </c>
      <c r="C328" s="1">
        <v>46091</v>
      </c>
      <c r="D328" t="str">
        <f>CLEAN("2410-15-70")</f>
        <v>2410-15-70</v>
      </c>
      <c r="E328" t="str">
        <f>CLEAN("206  ")</f>
        <v xml:space="preserve">206  </v>
      </c>
      <c r="F328" t="str">
        <f>CLEAN("$12,000,000 - $12,999,999")</f>
        <v>$12,000,000 - $12,999,999</v>
      </c>
      <c r="G328" t="str">
        <f>CLEAN("LET")</f>
        <v>LET</v>
      </c>
      <c r="H328" t="str">
        <f>CLEAN("LET CONSTRUCTION         ")</f>
        <v xml:space="preserve">LET CONSTRUCTION         </v>
      </c>
      <c r="I328" t="str">
        <f>CLEAN("CONST/RECST                        ")</f>
        <v xml:space="preserve">CONST/RECST                        </v>
      </c>
      <c r="J328" t="str">
        <f>CLEAN("LOC STR")</f>
        <v>LOC STR</v>
      </c>
      <c r="K328" t="str">
        <f t="shared" si="136"/>
        <v xml:space="preserve">MILWAUKEE                     </v>
      </c>
      <c r="L328" t="str">
        <f>CLEAN("C WEST ALLIS, W NATIONAL AVENUE    ")</f>
        <v xml:space="preserve">C WEST ALLIS, W NATIONAL AVENUE    </v>
      </c>
      <c r="M328" t="str">
        <f>CLEAN("S 95TH ST TO S 108TH ST            ")</f>
        <v xml:space="preserve">S 95TH ST TO S 108TH ST            </v>
      </c>
      <c r="N328">
        <v>1.1040000000000001</v>
      </c>
      <c r="O328" t="str">
        <f>CLEAN("2410-15-71")</f>
        <v>2410-15-71</v>
      </c>
      <c r="P328" t="str">
        <f>CLEAN("STP URBAN OVER 200,000                                                                              ")</f>
        <v xml:space="preserve">STP URBAN OVER 200,000                                                                              </v>
      </c>
    </row>
    <row r="329" spans="1:16" x14ac:dyDescent="0.25">
      <c r="A329" t="str">
        <f t="shared" si="133"/>
        <v>10</v>
      </c>
      <c r="B329" t="str">
        <f t="shared" si="130"/>
        <v>22</v>
      </c>
      <c r="C329" s="1">
        <v>46091</v>
      </c>
      <c r="D329" t="str">
        <f>CLEAN("2410-15-71")</f>
        <v>2410-15-71</v>
      </c>
      <c r="E329" t="str">
        <f>CLEAN("206  ")</f>
        <v xml:space="preserve">206  </v>
      </c>
      <c r="F329" t="str">
        <f>CLEAN("$4,000,000 - $4,999,999  ")</f>
        <v xml:space="preserve">$4,000,000 - $4,999,999  </v>
      </c>
      <c r="G329" t="str">
        <f>CLEAN("LET")</f>
        <v>LET</v>
      </c>
      <c r="H329" t="str">
        <f>CLEAN("LET CONSTRUCTION         ")</f>
        <v xml:space="preserve">LET CONSTRUCTION         </v>
      </c>
      <c r="I329" t="str">
        <f>CLEAN("CONST/RECST                        ")</f>
        <v xml:space="preserve">CONST/RECST                        </v>
      </c>
      <c r="J329" t="str">
        <f>CLEAN("LOC STR")</f>
        <v>LOC STR</v>
      </c>
      <c r="K329" t="str">
        <f t="shared" si="136"/>
        <v xml:space="preserve">MILWAUKEE                     </v>
      </c>
      <c r="L329" t="str">
        <f>CLEAN("C WEST ALLIS, W NATIONAL AVENUE    ")</f>
        <v xml:space="preserve">C WEST ALLIS, W NATIONAL AVENUE    </v>
      </c>
      <c r="M329" t="str">
        <f>CLEAN("S 95TH ST TO S 108TH ST            ")</f>
        <v xml:space="preserve">S 95TH ST TO S 108TH ST            </v>
      </c>
      <c r="N329">
        <v>1.1040000000000001</v>
      </c>
      <c r="O329" t="str">
        <f>CLEAN("2410-15-70")</f>
        <v>2410-15-70</v>
      </c>
      <c r="P329" t="str">
        <f>CLEAN("STP URBAN OVER 200,000                                                                              ")</f>
        <v xml:space="preserve">STP URBAN OVER 200,000                                                                              </v>
      </c>
    </row>
    <row r="330" spans="1:16" x14ac:dyDescent="0.25">
      <c r="A330" t="str">
        <f t="shared" si="133"/>
        <v>10</v>
      </c>
      <c r="B330" t="str">
        <f t="shared" si="130"/>
        <v>22</v>
      </c>
      <c r="C330" s="1">
        <v>46063</v>
      </c>
      <c r="D330" t="str">
        <f>CLEAN("2415-02-71")</f>
        <v>2415-02-71</v>
      </c>
      <c r="E330" t="str">
        <f>CLEAN("206  ")</f>
        <v xml:space="preserve">206  </v>
      </c>
      <c r="F330" t="str">
        <f>CLEAN("$1,000,000 - $1,999,999  ")</f>
        <v xml:space="preserve">$1,000,000 - $1,999,999  </v>
      </c>
      <c r="G330" t="str">
        <f>CLEAN("LET")</f>
        <v>LET</v>
      </c>
      <c r="H330" t="str">
        <f>CLEAN("LET CONSTRUCTION         ")</f>
        <v xml:space="preserve">LET CONSTRUCTION         </v>
      </c>
      <c r="I330" t="str">
        <f>CLEAN("CONST/MISC                         ")</f>
        <v xml:space="preserve">CONST/MISC                         </v>
      </c>
      <c r="J330" t="str">
        <f>CLEAN("LOC STR")</f>
        <v>LOC STR</v>
      </c>
      <c r="K330" t="str">
        <f t="shared" si="136"/>
        <v xml:space="preserve">MILWAUKEE                     </v>
      </c>
      <c r="L330" t="str">
        <f>CLEAN("C MILWAUKEE, N 60TH ST             ")</f>
        <v xml:space="preserve">C MILWAUKEE, N 60TH ST             </v>
      </c>
      <c r="M330" t="str">
        <f>CLEAN("INTERSECTIONS WITH KEEFE &amp; BURLEIGH")</f>
        <v>INTERSECTIONS WITH KEEFE &amp; BURLEIGH</v>
      </c>
      <c r="N330">
        <v>7.0000000000000007E-2</v>
      </c>
      <c r="O330" t="str">
        <f>CLEAN("2984-01-79")</f>
        <v>2984-01-79</v>
      </c>
      <c r="P330" t="str">
        <f>CLEAN("SAFETY (REGULAR HSIP)                                                                               ")</f>
        <v xml:space="preserve">SAFETY (REGULAR HSIP)                                                                               </v>
      </c>
    </row>
    <row r="331" spans="1:16" x14ac:dyDescent="0.25">
      <c r="A331" t="str">
        <f t="shared" si="133"/>
        <v>10</v>
      </c>
      <c r="B331" t="str">
        <f t="shared" si="130"/>
        <v>22</v>
      </c>
      <c r="C331" s="1">
        <v>45909</v>
      </c>
      <c r="D331" t="str">
        <f>CLEAN("2430-07-70")</f>
        <v>2430-07-70</v>
      </c>
      <c r="E331" t="str">
        <f>CLEAN("303  ")</f>
        <v xml:space="preserve">303  </v>
      </c>
      <c r="F331" t="str">
        <f>CLEAN("$1,000,000 - $1,999,999  ")</f>
        <v xml:space="preserve">$1,000,000 - $1,999,999  </v>
      </c>
      <c r="G331" t="str">
        <f>CLEAN("LET")</f>
        <v>LET</v>
      </c>
      <c r="H331" t="str">
        <f>CLEAN("LET CONSTRUCTION         ")</f>
        <v xml:space="preserve">LET CONSTRUCTION         </v>
      </c>
      <c r="I331" t="str">
        <f>CLEAN("CONST/RESURFACE                    ")</f>
        <v xml:space="preserve">CONST/RESURFACE                    </v>
      </c>
      <c r="J331" t="str">
        <f>CLEAN("USH 045")</f>
        <v>USH 045</v>
      </c>
      <c r="K331" t="str">
        <f>CLEAN("RACINE                        ")</f>
        <v xml:space="preserve">RACINE                        </v>
      </c>
      <c r="L331" t="str">
        <f>CLEAN("UNION GROVE - HALES CORNERS        ")</f>
        <v xml:space="preserve">UNION GROVE - HALES CORNERS        </v>
      </c>
      <c r="M331" t="str">
        <f>CLEAN("STH 20 TO 2000 FT NORTH OF CTH K   ")</f>
        <v xml:space="preserve">STH 20 TO 2000 FT NORTH OF CTH K   </v>
      </c>
      <c r="N331">
        <v>2.7370000000000001</v>
      </c>
      <c r="O331" t="str">
        <f t="shared" ref="O331:O336" si="137">CLEAN("          ")</f>
        <v xml:space="preserve">          </v>
      </c>
      <c r="P331" t="str">
        <f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332" spans="1:16" x14ac:dyDescent="0.25">
      <c r="A332" t="str">
        <f t="shared" si="133"/>
        <v>10</v>
      </c>
      <c r="B332" t="str">
        <f t="shared" si="130"/>
        <v>22</v>
      </c>
      <c r="C332" s="1">
        <v>46063</v>
      </c>
      <c r="D332" t="str">
        <f>CLEAN("2475-04-71")</f>
        <v>2475-04-71</v>
      </c>
      <c r="E332" t="str">
        <f>CLEAN("303  ")</f>
        <v xml:space="preserve">303  </v>
      </c>
      <c r="F332" t="str">
        <f>CLEAN("$2,000,000 - $2,999,999  ")</f>
        <v xml:space="preserve">$2,000,000 - $2,999,999  </v>
      </c>
      <c r="G332" t="str">
        <f>CLEAN("LET")</f>
        <v>LET</v>
      </c>
      <c r="H332" t="str">
        <f>CLEAN("LET CONSTRUCTION         ")</f>
        <v xml:space="preserve">LET CONSTRUCTION         </v>
      </c>
      <c r="I332" t="str">
        <f>CLEAN("CONST/RECST                        ")</f>
        <v xml:space="preserve">CONST/RECST                        </v>
      </c>
      <c r="J332" t="str">
        <f>CLEAN("STH 145")</f>
        <v>STH 145</v>
      </c>
      <c r="K332" t="str">
        <f>CLEAN("WASHINGTON                    ")</f>
        <v xml:space="preserve">WASHINGTON                    </v>
      </c>
      <c r="L332" t="str">
        <f>CLEAN("V GERMANTOWN-FOND DU LAC AVENUE    ")</f>
        <v xml:space="preserve">V GERMANTOWN-FOND DU LAC AVENUE    </v>
      </c>
      <c r="M332" t="str">
        <f>CLEAN("INTERSECTION WITH CTH G            ")</f>
        <v xml:space="preserve">INTERSECTION WITH CTH G            </v>
      </c>
      <c r="N332">
        <v>0.03</v>
      </c>
      <c r="O332" t="str">
        <f t="shared" si="137"/>
        <v xml:space="preserve">          </v>
      </c>
      <c r="P332" t="str">
        <f>CLEAN("SAFETY (REGULAR HSIP)                                                                               ")</f>
        <v xml:space="preserve">SAFETY (REGULAR HSIP)                                                                               </v>
      </c>
    </row>
    <row r="333" spans="1:16" x14ac:dyDescent="0.25">
      <c r="A333" t="str">
        <f t="shared" si="133"/>
        <v>10</v>
      </c>
      <c r="B333" t="str">
        <f t="shared" si="130"/>
        <v>22</v>
      </c>
      <c r="C333" s="1">
        <v>46137</v>
      </c>
      <c r="D333" t="str">
        <f>CLEAN("2475-13-20")</f>
        <v>2475-13-20</v>
      </c>
      <c r="E333" t="str">
        <f>CLEAN("303  ")</f>
        <v xml:space="preserve">303  </v>
      </c>
      <c r="F333" t="str">
        <f>CLEAN("$0 - $99,999             ")</f>
        <v xml:space="preserve">$0 - $99,999             </v>
      </c>
      <c r="G333" t="str">
        <f>CLEAN("R/E")</f>
        <v>R/E</v>
      </c>
      <c r="H333" t="str">
        <f>CLEAN("NONLET CONSTR/REAL ESTATE")</f>
        <v>NONLET CONSTR/REAL ESTATE</v>
      </c>
      <c r="I333" t="str">
        <f>CLEAN("RE/PVRPLA                          ")</f>
        <v xml:space="preserve">RE/PVRPLA                          </v>
      </c>
      <c r="J333" t="str">
        <f>CLEAN("STH 145")</f>
        <v>STH 145</v>
      </c>
      <c r="K333" t="str">
        <f>CLEAN("WASHINGTON                    ")</f>
        <v xml:space="preserve">WASHINGTON                    </v>
      </c>
      <c r="L333" t="str">
        <f>CLEAN("GERMANTOWN - RICHFIELD             ")</f>
        <v xml:space="preserve">GERMANTOWN - RICHFIELD             </v>
      </c>
      <c r="M333" t="str">
        <f>CLEAN("PILGRIM RD-0.2 MI S OF DIVISION RD ")</f>
        <v xml:space="preserve">PILGRIM RD-0.2 MI S OF DIVISION RD </v>
      </c>
      <c r="N333">
        <v>1.4039999999999999</v>
      </c>
      <c r="O333" t="str">
        <f t="shared" si="137"/>
        <v xml:space="preserve">          </v>
      </c>
      <c r="P333" t="str">
        <f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334" spans="1:16" x14ac:dyDescent="0.25">
      <c r="A334" t="str">
        <f t="shared" si="133"/>
        <v>10</v>
      </c>
      <c r="B334" t="str">
        <f t="shared" si="130"/>
        <v>22</v>
      </c>
      <c r="C334" s="1">
        <v>45894</v>
      </c>
      <c r="D334" t="str">
        <f>CLEAN("2480-07-20")</f>
        <v>2480-07-20</v>
      </c>
      <c r="E334" t="str">
        <f>CLEAN("303  ")</f>
        <v xml:space="preserve">303  </v>
      </c>
      <c r="F334" t="str">
        <f>CLEAN("$0 - $99,999             ")</f>
        <v xml:space="preserve">$0 - $99,999             </v>
      </c>
      <c r="G334" t="str">
        <f>CLEAN("R/E")</f>
        <v>R/E</v>
      </c>
      <c r="H334" t="str">
        <f>CLEAN("NONLET CONSTR/REAL ESTATE")</f>
        <v>NONLET CONSTR/REAL ESTATE</v>
      </c>
      <c r="I334" t="str">
        <f>CLEAN("RE/RSRF20                          ")</f>
        <v xml:space="preserve">RE/RSRF20                          </v>
      </c>
      <c r="J334" t="str">
        <f>CLEAN("STH 144")</f>
        <v>STH 144</v>
      </c>
      <c r="K334" t="str">
        <f>CLEAN("WASHINGTON                    ")</f>
        <v xml:space="preserve">WASHINGTON                    </v>
      </c>
      <c r="L334" t="str">
        <f>CLEAN("KETTLE MORAINE SCENIC DRIVE        ")</f>
        <v xml:space="preserve">KETTLE MORAINE SCENIC DRIVE        </v>
      </c>
      <c r="M334" t="str">
        <f>CLEAN("IH 41 TO STH 33                    ")</f>
        <v xml:space="preserve">IH 41 TO STH 33                    </v>
      </c>
      <c r="N334">
        <v>5.6429999999999998</v>
      </c>
      <c r="O334" t="str">
        <f t="shared" si="137"/>
        <v xml:space="preserve">          </v>
      </c>
      <c r="P334" t="str">
        <f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335" spans="1:16" x14ac:dyDescent="0.25">
      <c r="A335" t="str">
        <f t="shared" si="133"/>
        <v>10</v>
      </c>
      <c r="B335" t="str">
        <f t="shared" si="130"/>
        <v>22</v>
      </c>
      <c r="C335" s="1">
        <v>46167</v>
      </c>
      <c r="D335" t="str">
        <f>CLEAN("2525-03-51")</f>
        <v>2525-03-51</v>
      </c>
      <c r="E335" t="str">
        <f>CLEAN("206  ")</f>
        <v xml:space="preserve">206  </v>
      </c>
      <c r="F335" t="str">
        <f>CLEAN("$100,000-$249,999        ")</f>
        <v xml:space="preserve">$100,000-$249,999        </v>
      </c>
      <c r="G335" t="str">
        <f>CLEAN("R/R")</f>
        <v>R/R</v>
      </c>
      <c r="H335" t="str">
        <f>CLEAN("NONLET CONSTR/REAL ESTATE")</f>
        <v>NONLET CONSTR/REAL ESTATE</v>
      </c>
      <c r="I335" t="str">
        <f>CLEAN("CONST/RR CROSSING SURFACE          ")</f>
        <v xml:space="preserve">CONST/RR CROSSING SURFACE          </v>
      </c>
      <c r="J335" t="str">
        <f>CLEAN("LOC STR")</f>
        <v>LOC STR</v>
      </c>
      <c r="K335" t="str">
        <f>CLEAN("MILWAUKEE                     ")</f>
        <v xml:space="preserve">MILWAUKEE                     </v>
      </c>
      <c r="L335" t="str">
        <f>CLEAN("C WEST ALLIS W BELOIT ROAD         ")</f>
        <v xml:space="preserve">C WEST ALLIS W BELOIT ROAD         </v>
      </c>
      <c r="M335" t="str">
        <f>CLEAN("UNION PACIFIC RR, 177237P, MP 86.00")</f>
        <v>UNION PACIFIC RR, 177237P, MP 86.00</v>
      </c>
      <c r="N335">
        <v>0</v>
      </c>
      <c r="O335" t="str">
        <f t="shared" si="137"/>
        <v xml:space="preserve">          </v>
      </c>
      <c r="P335" t="str">
        <f>CLEAN("STP URBAN OVER 200,000                                                                              ")</f>
        <v xml:space="preserve">STP URBAN OVER 200,000                                                                              </v>
      </c>
    </row>
    <row r="336" spans="1:16" x14ac:dyDescent="0.25">
      <c r="A336" t="str">
        <f t="shared" si="133"/>
        <v>10</v>
      </c>
      <c r="B336" t="str">
        <f t="shared" si="130"/>
        <v>22</v>
      </c>
      <c r="C336" s="1">
        <v>46137</v>
      </c>
      <c r="D336" t="str">
        <f>CLEAN("2565-00-25")</f>
        <v>2565-00-25</v>
      </c>
      <c r="E336" t="str">
        <f>CLEAN("303  ")</f>
        <v xml:space="preserve">303  </v>
      </c>
      <c r="F336" t="str">
        <f>CLEAN("$250,000 - $499,999      ")</f>
        <v xml:space="preserve">$250,000 - $499,999      </v>
      </c>
      <c r="G336" t="str">
        <f>CLEAN("R/E")</f>
        <v>R/E</v>
      </c>
      <c r="H336" t="str">
        <f>CLEAN("NONLET CONSTR/REAL ESTATE")</f>
        <v>NONLET CONSTR/REAL ESTATE</v>
      </c>
      <c r="I336" t="str">
        <f>CLEAN("RE/RSRF25                          ")</f>
        <v xml:space="preserve">RE/RSRF25                          </v>
      </c>
      <c r="J336" t="str">
        <f>CLEAN("STH 057")</f>
        <v>STH 057</v>
      </c>
      <c r="K336" t="str">
        <f>CLEAN("MILWAUKEE                     ")</f>
        <v xml:space="preserve">MILWAUKEE                     </v>
      </c>
      <c r="L336" t="str">
        <f>CLEAN("C GLENDALE, N GREEN BAY AVE        ")</f>
        <v xml:space="preserve">C GLENDALE, N GREEN BAY AVE        </v>
      </c>
      <c r="M336" t="str">
        <f>CLEAN("SILVER SPRING-0.1 MI S OF FAIRLANE ")</f>
        <v xml:space="preserve">SILVER SPRING-0.1 MI S OF FAIRLANE </v>
      </c>
      <c r="N336">
        <v>2.1629999999999998</v>
      </c>
      <c r="O336" t="str">
        <f t="shared" si="137"/>
        <v xml:space="preserve">          </v>
      </c>
      <c r="P336" t="str">
        <f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337" spans="1:16" x14ac:dyDescent="0.25">
      <c r="A337" t="str">
        <f t="shared" si="133"/>
        <v>10</v>
      </c>
      <c r="B337" t="str">
        <f t="shared" si="130"/>
        <v>22</v>
      </c>
      <c r="C337" s="1">
        <v>46154</v>
      </c>
      <c r="D337" t="str">
        <f>CLEAN("2568-00-71")</f>
        <v>2568-00-71</v>
      </c>
      <c r="E337" t="str">
        <f>CLEAN("206  ")</f>
        <v xml:space="preserve">206  </v>
      </c>
      <c r="F337" t="str">
        <f>CLEAN("$1,000,000 - $1,999,999  ")</f>
        <v xml:space="preserve">$1,000,000 - $1,999,999  </v>
      </c>
      <c r="G337" t="str">
        <f>CLEAN("LET")</f>
        <v>LET</v>
      </c>
      <c r="H337" t="str">
        <f>CLEAN("LET CONSTRUCTION         ")</f>
        <v xml:space="preserve">LET CONSTRUCTION         </v>
      </c>
      <c r="I337" t="str">
        <f>CLEAN("CONST/MISC                         ")</f>
        <v xml:space="preserve">CONST/MISC                         </v>
      </c>
      <c r="J337" t="str">
        <f>CLEAN("LOC STR")</f>
        <v>LOC STR</v>
      </c>
      <c r="K337" t="str">
        <f>CLEAN("MILWAUKEE                     ")</f>
        <v xml:space="preserve">MILWAUKEE                     </v>
      </c>
      <c r="L337" t="str">
        <f>CLEAN("C MILWAUKEE, N DR MLK JR DR        ")</f>
        <v xml:space="preserve">C MILWAUKEE, N DR MLK JR DR        </v>
      </c>
      <c r="M337" t="str">
        <f>CLEAN("INTERSECTIONS W CENTER TO W WRIGHT ")</f>
        <v xml:space="preserve">INTERSECTIONS W CENTER TO W WRIGHT </v>
      </c>
      <c r="N337">
        <v>1.2E-2</v>
      </c>
      <c r="O337" t="str">
        <f>CLEAN("2568-00-72")</f>
        <v>2568-00-72</v>
      </c>
      <c r="P337" t="str">
        <f>CLEAN("SAFETY (REGULAR HSIP)                                                                               ")</f>
        <v xml:space="preserve">SAFETY (REGULAR HSIP)                                                                               </v>
      </c>
    </row>
    <row r="338" spans="1:16" x14ac:dyDescent="0.25">
      <c r="A338" t="str">
        <f t="shared" si="133"/>
        <v>10</v>
      </c>
      <c r="B338" t="str">
        <f t="shared" si="130"/>
        <v>22</v>
      </c>
      <c r="C338" s="1">
        <v>46154</v>
      </c>
      <c r="D338" t="str">
        <f>CLEAN("2568-00-72")</f>
        <v>2568-00-72</v>
      </c>
      <c r="E338" t="str">
        <f>CLEAN("206  ")</f>
        <v xml:space="preserve">206  </v>
      </c>
      <c r="F338" t="str">
        <f>CLEAN("$750,000 - $999,999      ")</f>
        <v xml:space="preserve">$750,000 - $999,999      </v>
      </c>
      <c r="G338" t="str">
        <f>CLEAN("LET")</f>
        <v>LET</v>
      </c>
      <c r="H338" t="str">
        <f>CLEAN("LET CONSTRUCTION         ")</f>
        <v xml:space="preserve">LET CONSTRUCTION         </v>
      </c>
      <c r="I338" t="str">
        <f>CLEAN("CONST/MISC                         ")</f>
        <v xml:space="preserve">CONST/MISC                         </v>
      </c>
      <c r="J338" t="str">
        <f>CLEAN("LOC STR")</f>
        <v>LOC STR</v>
      </c>
      <c r="K338" t="str">
        <f>CLEAN("MILWAUKEE                     ")</f>
        <v xml:space="preserve">MILWAUKEE                     </v>
      </c>
      <c r="L338" t="str">
        <f>CLEAN("C MILWAUKEE, N DR MLK JR DR        ")</f>
        <v xml:space="preserve">C MILWAUKEE, N DR MLK JR DR        </v>
      </c>
      <c r="M338" t="str">
        <f>CLEAN("INTERSECTION WITH NORTH AVE        ")</f>
        <v xml:space="preserve">INTERSECTION WITH NORTH AVE        </v>
      </c>
      <c r="N338">
        <v>2.4E-2</v>
      </c>
      <c r="O338" t="str">
        <f>CLEAN("2568-00-71")</f>
        <v>2568-00-71</v>
      </c>
      <c r="P338" t="str">
        <f>CLEAN("SAFETY (REGULAR HSIP)                                                                               ")</f>
        <v xml:space="preserve">SAFETY (REGULAR HSIP)                                                                               </v>
      </c>
    </row>
    <row r="339" spans="1:16" x14ac:dyDescent="0.25">
      <c r="A339" t="str">
        <f t="shared" si="133"/>
        <v>10</v>
      </c>
      <c r="B339" t="str">
        <f t="shared" si="130"/>
        <v>22</v>
      </c>
      <c r="C339" s="1">
        <v>46106</v>
      </c>
      <c r="D339" t="str">
        <f>CLEAN("2696-23-70")</f>
        <v>2696-23-70</v>
      </c>
      <c r="E339" t="str">
        <f>CLEAN("290  ")</f>
        <v xml:space="preserve">290  </v>
      </c>
      <c r="F339" t="str">
        <f>CLEAN("$250,000 - $499,999      ")</f>
        <v xml:space="preserve">$250,000 - $499,999      </v>
      </c>
      <c r="G339" t="str">
        <f>CLEAN("LLC")</f>
        <v>LLC</v>
      </c>
      <c r="H339" t="str">
        <f>CLEAN("NONLET CONSTR/REAL ESTATE")</f>
        <v>NONLET CONSTR/REAL ESTATE</v>
      </c>
      <c r="I339" t="str">
        <f>CLEAN("CONST/BIKE PED TRAIL               ")</f>
        <v xml:space="preserve">CONST/BIKE PED TRAIL               </v>
      </c>
      <c r="J339" t="str">
        <f>CLEAN("NON HWY")</f>
        <v>NON HWY</v>
      </c>
      <c r="K339" t="str">
        <f>CLEAN("OZAUKEE                       ")</f>
        <v xml:space="preserve">OZAUKEE                       </v>
      </c>
      <c r="L339" t="str">
        <f>CLEAN("OZAUKEE INTERURBAN TRAIL EW        ")</f>
        <v xml:space="preserve">OZAUKEE INTERURBAN TRAIL EW        </v>
      </c>
      <c r="M339" t="str">
        <f>CLEAN("ALONG STH 60 1ST TO WASHINGTON     ")</f>
        <v xml:space="preserve">ALONG STH 60 1ST TO WASHINGTON     </v>
      </c>
      <c r="N339">
        <v>0</v>
      </c>
      <c r="O339" t="str">
        <f t="shared" ref="O339:O360" si="138">CLEAN("          ")</f>
        <v xml:space="preserve">          </v>
      </c>
      <c r="P339" t="str">
        <f>CLEAN("TAP &gt; 200,000                                                                                       ")</f>
        <v xml:space="preserve">TAP &gt; 200,000                                                                                       </v>
      </c>
    </row>
    <row r="340" spans="1:16" x14ac:dyDescent="0.25">
      <c r="A340" t="str">
        <f t="shared" si="133"/>
        <v>10</v>
      </c>
      <c r="B340" t="str">
        <f t="shared" si="130"/>
        <v>22</v>
      </c>
      <c r="C340" s="1">
        <v>46259</v>
      </c>
      <c r="D340" t="str">
        <f>CLEAN("2697-00-57")</f>
        <v>2697-00-57</v>
      </c>
      <c r="E340" t="str">
        <f>CLEAN("303  ")</f>
        <v xml:space="preserve">303  </v>
      </c>
      <c r="F340" t="str">
        <f>CLEAN("$250,000 - $499,999      ")</f>
        <v xml:space="preserve">$250,000 - $499,999      </v>
      </c>
      <c r="G340" t="str">
        <f>CLEAN("R/R")</f>
        <v>R/R</v>
      </c>
      <c r="H340" t="str">
        <f>CLEAN("NONLET CONSTR/REAL ESTATE")</f>
        <v>NONLET CONSTR/REAL ESTATE</v>
      </c>
      <c r="I340" t="str">
        <f>CLEAN("RR/XING SURFACE,386841H, MP 101.57 ")</f>
        <v xml:space="preserve">RR/XING SURFACE,386841H, MP 101.57 </v>
      </c>
      <c r="J340" t="str">
        <f>CLEAN("STH 057")</f>
        <v>STH 057</v>
      </c>
      <c r="K340" t="str">
        <f>CLEAN("OZAUKEE                       ")</f>
        <v xml:space="preserve">OZAUKEE                       </v>
      </c>
      <c r="L340" t="str">
        <f>CLEAN("MEQUON-SAUKVILLE                   ")</f>
        <v xml:space="preserve">MEQUON-SAUKVILLE                   </v>
      </c>
      <c r="M340" t="str">
        <f>CLEAN("STH 167 TO IH 43                   ")</f>
        <v xml:space="preserve">STH 167 TO IH 43                   </v>
      </c>
      <c r="N340">
        <v>0</v>
      </c>
      <c r="O340" t="str">
        <f t="shared" si="138"/>
        <v xml:space="preserve">          </v>
      </c>
      <c r="P340" t="str">
        <f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341" spans="1:16" x14ac:dyDescent="0.25">
      <c r="A341" t="str">
        <f t="shared" si="133"/>
        <v>10</v>
      </c>
      <c r="B341" t="str">
        <f t="shared" si="130"/>
        <v>22</v>
      </c>
      <c r="C341" s="1">
        <v>46259</v>
      </c>
      <c r="D341" t="str">
        <f>CLEAN("2697-00-58")</f>
        <v>2697-00-58</v>
      </c>
      <c r="E341" t="str">
        <f>CLEAN("303  ")</f>
        <v xml:space="preserve">303  </v>
      </c>
      <c r="F341" t="str">
        <f>CLEAN("$500,000 - $749,999      ")</f>
        <v xml:space="preserve">$500,000 - $749,999      </v>
      </c>
      <c r="G341" t="str">
        <f>CLEAN("R/R")</f>
        <v>R/R</v>
      </c>
      <c r="H341" t="str">
        <f>CLEAN("NONLET CONSTR/REAL ESTATE")</f>
        <v>NONLET CONSTR/REAL ESTATE</v>
      </c>
      <c r="I341" t="str">
        <f>CLEAN("WSOR RR/X-ING DOT 386841H MP101.57 ")</f>
        <v xml:space="preserve">WSOR RR/X-ING DOT 386841H MP101.57 </v>
      </c>
      <c r="J341" t="str">
        <f>CLEAN("STH 167")</f>
        <v>STH 167</v>
      </c>
      <c r="K341" t="str">
        <f>CLEAN("OZAUKEE                       ")</f>
        <v xml:space="preserve">OZAUKEE                       </v>
      </c>
      <c r="L341" t="str">
        <f>CLEAN("C MEQUON, W MEQUON ROAD            ")</f>
        <v xml:space="preserve">C MEQUON, W MEQUON ROAD            </v>
      </c>
      <c r="M341" t="str">
        <f>CLEAN("BUNTROCK AVE TO STH 57             ")</f>
        <v xml:space="preserve">BUNTROCK AVE TO STH 57             </v>
      </c>
      <c r="N341">
        <v>0</v>
      </c>
      <c r="O341" t="str">
        <f t="shared" si="138"/>
        <v xml:space="preserve">          </v>
      </c>
      <c r="P341" t="str">
        <f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342" spans="1:16" x14ac:dyDescent="0.25">
      <c r="A342" t="str">
        <f t="shared" si="133"/>
        <v>10</v>
      </c>
      <c r="B342" t="str">
        <f t="shared" si="130"/>
        <v>22</v>
      </c>
      <c r="C342" s="1">
        <v>45894</v>
      </c>
      <c r="D342" t="str">
        <f>CLEAN("2697-22-70")</f>
        <v>2697-22-70</v>
      </c>
      <c r="E342" t="str">
        <f>CLEAN("290  ")</f>
        <v xml:space="preserve">290  </v>
      </c>
      <c r="F342" t="str">
        <f>CLEAN("$1,000,000 - $1,999,999  ")</f>
        <v xml:space="preserve">$1,000,000 - $1,999,999  </v>
      </c>
      <c r="G342" t="str">
        <f>CLEAN("LLC")</f>
        <v>LLC</v>
      </c>
      <c r="H342" t="str">
        <f>CLEAN("NONLET CONSTR/REAL ESTATE")</f>
        <v>NONLET CONSTR/REAL ESTATE</v>
      </c>
      <c r="I342" t="str">
        <f>CLEAN("CONST/TRAIL                        ")</f>
        <v xml:space="preserve">CONST/TRAIL                        </v>
      </c>
      <c r="J342" t="str">
        <f>CLEAN("NON HWY")</f>
        <v>NON HWY</v>
      </c>
      <c r="K342" t="str">
        <f>CLEAN("OZAUKEE                       ")</f>
        <v xml:space="preserve">OZAUKEE                       </v>
      </c>
      <c r="L342" t="str">
        <f>CLEAN("HIGHLAND ROAD BIKE SPUR            ")</f>
        <v xml:space="preserve">HIGHLAND ROAD BIKE SPUR            </v>
      </c>
      <c r="M342" t="str">
        <f>CLEAN("ROTARY PK-OZAUKEE INTERURBAN TRL   ")</f>
        <v xml:space="preserve">ROTARY PK-OZAUKEE INTERURBAN TRL   </v>
      </c>
      <c r="N342">
        <v>0</v>
      </c>
      <c r="O342" t="str">
        <f t="shared" si="138"/>
        <v xml:space="preserve">          </v>
      </c>
      <c r="P342" t="str">
        <f>CLEAN("TAP &gt; 200,000                                                                                       ")</f>
        <v xml:space="preserve">TAP &gt; 200,000                                                                                       </v>
      </c>
    </row>
    <row r="343" spans="1:16" x14ac:dyDescent="0.25">
      <c r="A343" t="str">
        <f t="shared" si="133"/>
        <v>10</v>
      </c>
      <c r="B343" t="str">
        <f t="shared" si="130"/>
        <v>22</v>
      </c>
      <c r="C343" s="1">
        <v>46091</v>
      </c>
      <c r="D343" t="str">
        <f>CLEAN("2703-00-76")</f>
        <v>2703-00-76</v>
      </c>
      <c r="E343" t="str">
        <f>CLEAN("206  ")</f>
        <v xml:space="preserve">206  </v>
      </c>
      <c r="F343" t="str">
        <f>CLEAN("$3,000,000 - $3,999,999  ")</f>
        <v xml:space="preserve">$3,000,000 - $3,999,999  </v>
      </c>
      <c r="G343" t="str">
        <f>CLEAN("LET")</f>
        <v>LET</v>
      </c>
      <c r="H343" t="str">
        <f>CLEAN("LET CONSTRUCTION         ")</f>
        <v xml:space="preserve">LET CONSTRUCTION         </v>
      </c>
      <c r="I343" t="str">
        <f>CLEAN("CONST/RECST                        ")</f>
        <v xml:space="preserve">CONST/RECST                        </v>
      </c>
      <c r="J343" t="str">
        <f>CLEAN("LOC STR")</f>
        <v>LOC STR</v>
      </c>
      <c r="K343" t="str">
        <f>CLEAN("RACINE                        ")</f>
        <v xml:space="preserve">RACINE                        </v>
      </c>
      <c r="L343" t="str">
        <f>CLEAN("CITY RACINE, OHIO ST               ")</f>
        <v xml:space="preserve">CITY RACINE, OHIO ST               </v>
      </c>
      <c r="M343" t="str">
        <f>CLEAN("WASHINGTON AVE TO GRACELAND BLVD   ")</f>
        <v xml:space="preserve">WASHINGTON AVE TO GRACELAND BLVD   </v>
      </c>
      <c r="N343">
        <v>0.505</v>
      </c>
      <c r="O343" t="str">
        <f t="shared" si="138"/>
        <v xml:space="preserve">          </v>
      </c>
      <c r="P343" t="str">
        <f>CLEAN("STP URBAN 50,000 - 200,000                                                                          ")</f>
        <v xml:space="preserve">STP URBAN 50,000 - 200,000                                                                          </v>
      </c>
    </row>
    <row r="344" spans="1:16" x14ac:dyDescent="0.25">
      <c r="A344" t="str">
        <f t="shared" si="133"/>
        <v>10</v>
      </c>
      <c r="B344" t="str">
        <f t="shared" si="130"/>
        <v>22</v>
      </c>
      <c r="C344" s="1">
        <v>46091</v>
      </c>
      <c r="D344" t="str">
        <f>CLEAN("2703-08-71")</f>
        <v>2703-08-71</v>
      </c>
      <c r="E344" t="str">
        <f>CLEAN("206  ")</f>
        <v xml:space="preserve">206  </v>
      </c>
      <c r="F344" t="str">
        <f>CLEAN("$1,000,000 - $1,999,999  ")</f>
        <v xml:space="preserve">$1,000,000 - $1,999,999  </v>
      </c>
      <c r="G344" t="str">
        <f>CLEAN("LET")</f>
        <v>LET</v>
      </c>
      <c r="H344" t="str">
        <f>CLEAN("LET CONSTRUCTION         ")</f>
        <v xml:space="preserve">LET CONSTRUCTION         </v>
      </c>
      <c r="I344" t="str">
        <f>CLEAN("CONST/RSRF30                       ")</f>
        <v xml:space="preserve">CONST/RSRF30                       </v>
      </c>
      <c r="J344" t="str">
        <f>CLEAN("LOC STR")</f>
        <v>LOC STR</v>
      </c>
      <c r="K344" t="str">
        <f>CLEAN("RACINE                        ")</f>
        <v xml:space="preserve">RACINE                        </v>
      </c>
      <c r="L344" t="str">
        <f>CLEAN("C RACINE, S MEMORIAL DR            ")</f>
        <v xml:space="preserve">C RACINE, S MEMORIAL DR            </v>
      </c>
      <c r="M344" t="str">
        <f>CLEAN("DURAND AVE TO 17TH ST              ")</f>
        <v xml:space="preserve">DURAND AVE TO 17TH ST              </v>
      </c>
      <c r="N344">
        <v>1.018</v>
      </c>
      <c r="O344" t="str">
        <f t="shared" si="138"/>
        <v xml:space="preserve">          </v>
      </c>
      <c r="P344" t="str">
        <f>CLEAN("STP URBAN 50,000 - 200,000                                                                          ")</f>
        <v xml:space="preserve">STP URBAN 50,000 - 200,000                                                                          </v>
      </c>
    </row>
    <row r="345" spans="1:16" x14ac:dyDescent="0.25">
      <c r="A345" t="str">
        <f t="shared" si="133"/>
        <v>10</v>
      </c>
      <c r="B345" t="str">
        <f t="shared" si="130"/>
        <v>22</v>
      </c>
      <c r="C345" s="1">
        <v>45894</v>
      </c>
      <c r="D345" t="str">
        <f>CLEAN("2707-05-21")</f>
        <v>2707-05-21</v>
      </c>
      <c r="E345" t="str">
        <f>CLEAN("206  ")</f>
        <v xml:space="preserve">206  </v>
      </c>
      <c r="F345" t="str">
        <f>CLEAN("$100,000-$249,999        ")</f>
        <v xml:space="preserve">$100,000-$249,999        </v>
      </c>
      <c r="G345" t="str">
        <f>CLEAN("R/E")</f>
        <v>R/E</v>
      </c>
      <c r="H345" t="str">
        <f>CLEAN("NONLET CONSTR/REAL ESTATE")</f>
        <v>NONLET CONSTR/REAL ESTATE</v>
      </c>
      <c r="I345" t="str">
        <f>CLEAN("RE/RECSTE                          ")</f>
        <v xml:space="preserve">RE/RECSTE                          </v>
      </c>
      <c r="J345" t="str">
        <f>CLEAN("LOC STR")</f>
        <v>LOC STR</v>
      </c>
      <c r="K345" t="str">
        <f>CLEAN("WASHINGTON                    ")</f>
        <v xml:space="preserve">WASHINGTON                    </v>
      </c>
      <c r="L345" t="str">
        <f>CLEAN("C WEST BEND, S MAIN ST             ")</f>
        <v xml:space="preserve">C WEST BEND, S MAIN ST             </v>
      </c>
      <c r="M345" t="str">
        <f>CLEAN("HUMAR ST TO PROGRESS DR            ")</f>
        <v xml:space="preserve">HUMAR ST TO PROGRESS DR            </v>
      </c>
      <c r="N345">
        <v>0.31</v>
      </c>
      <c r="O345" t="str">
        <f t="shared" si="138"/>
        <v xml:space="preserve">          </v>
      </c>
      <c r="P345" t="str">
        <f>CLEAN("STP URBAN 50,000 - 200,000                                                                          ")</f>
        <v xml:space="preserve">STP URBAN 50,000 - 200,000                                                                          </v>
      </c>
    </row>
    <row r="346" spans="1:16" x14ac:dyDescent="0.25">
      <c r="A346" t="str">
        <f t="shared" si="133"/>
        <v>10</v>
      </c>
      <c r="B346" t="str">
        <f t="shared" si="130"/>
        <v>22</v>
      </c>
      <c r="C346" s="1">
        <v>46063</v>
      </c>
      <c r="D346" t="str">
        <f>CLEAN("2707-08-70")</f>
        <v>2707-08-70</v>
      </c>
      <c r="E346" t="str">
        <f>CLEAN("303  ")</f>
        <v xml:space="preserve">303  </v>
      </c>
      <c r="F346" t="str">
        <f>CLEAN("$3,000,000 - $3,999,999  ")</f>
        <v xml:space="preserve">$3,000,000 - $3,999,999  </v>
      </c>
      <c r="G346" t="str">
        <f>CLEAN("LET")</f>
        <v>LET</v>
      </c>
      <c r="H346" t="str">
        <f>CLEAN("LET CONSTRUCTION         ")</f>
        <v xml:space="preserve">LET CONSTRUCTION         </v>
      </c>
      <c r="I346" t="str">
        <f>CLEAN("PER WISDOT ADA TRANS PLAN 265 RAMPS")</f>
        <v>PER WISDOT ADA TRANS PLAN 265 RAMPS</v>
      </c>
      <c r="J346" t="str">
        <f>CLEAN("VAR HWY")</f>
        <v>VAR HWY</v>
      </c>
      <c r="K346" t="str">
        <f>CLEAN("WASHINGTON                    ")</f>
        <v xml:space="preserve">WASHINGTON                    </v>
      </c>
      <c r="L346" t="str">
        <f>CLEAN("SOUTHEAST REGION, ADA CURB RAMPS   ")</f>
        <v xml:space="preserve">SOUTHEAST REGION, ADA CURB RAMPS   </v>
      </c>
      <c r="M346" t="str">
        <f>CLEAN("WEST BEND AREA VAR LOC PER PLAN    ")</f>
        <v xml:space="preserve">WEST BEND AREA VAR LOC PER PLAN    </v>
      </c>
      <c r="N346">
        <v>6.194</v>
      </c>
      <c r="O346" t="str">
        <f t="shared" si="138"/>
        <v xml:space="preserve">          </v>
      </c>
      <c r="P346" t="str">
        <f>CLEAN("CURB RAMP STANDALONE                                                                                ")</f>
        <v xml:space="preserve">CURB RAMP STANDALONE                                                                                </v>
      </c>
    </row>
    <row r="347" spans="1:16" x14ac:dyDescent="0.25">
      <c r="A347" t="str">
        <f t="shared" si="133"/>
        <v>10</v>
      </c>
      <c r="B347" t="str">
        <f t="shared" si="130"/>
        <v>22</v>
      </c>
      <c r="C347" s="1">
        <v>46035</v>
      </c>
      <c r="D347" t="str">
        <f>CLEAN("2717-03-71")</f>
        <v>2717-03-71</v>
      </c>
      <c r="E347" t="str">
        <f>CLEAN("303  ")</f>
        <v xml:space="preserve">303  </v>
      </c>
      <c r="F347" t="str">
        <f>CLEAN("$2,000,000 - $2,999,999  ")</f>
        <v xml:space="preserve">$2,000,000 - $2,999,999  </v>
      </c>
      <c r="G347" t="str">
        <f>CLEAN("LET")</f>
        <v>LET</v>
      </c>
      <c r="H347" t="str">
        <f>CLEAN("LET CONSTRUCTION         ")</f>
        <v xml:space="preserve">LET CONSTRUCTION         </v>
      </c>
      <c r="I347" t="str">
        <f>CLEAN("CONST/FULL PS/PVRPLA               ")</f>
        <v xml:space="preserve">CONST/FULL PS/PVRPLA               </v>
      </c>
      <c r="J347" t="str">
        <f>CLEAN("OFF SYS")</f>
        <v>OFF SYS</v>
      </c>
      <c r="K347" t="str">
        <f t="shared" ref="K347:K355" si="139">CLEAN("WAUKESHA                      ")</f>
        <v xml:space="preserve">WAUKESHA                      </v>
      </c>
      <c r="L347" t="str">
        <f>CLEAN("SILVERNAIL FRONTAGE ROAD           ")</f>
        <v xml:space="preserve">SILVERNAIL FRONTAGE ROAD           </v>
      </c>
      <c r="M347" t="str">
        <f>CLEAN("MAPLE AVENUE TO ELMHURST DRIVE     ")</f>
        <v xml:space="preserve">MAPLE AVENUE TO ELMHURST DRIVE     </v>
      </c>
      <c r="N347">
        <v>1.2310000000000001</v>
      </c>
      <c r="O347" t="str">
        <f t="shared" si="138"/>
        <v xml:space="preserve">          </v>
      </c>
      <c r="P347" t="str">
        <f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348" spans="1:16" x14ac:dyDescent="0.25">
      <c r="A348" t="str">
        <f>CLEAN("08")</f>
        <v>08</v>
      </c>
      <c r="B348" t="str">
        <f>CLEAN("08")</f>
        <v>08</v>
      </c>
      <c r="C348" s="1">
        <v>46154</v>
      </c>
      <c r="D348" t="str">
        <f>CLEAN("2717-05-70")</f>
        <v>2717-05-70</v>
      </c>
      <c r="E348" t="str">
        <f>CLEAN("207  ")</f>
        <v xml:space="preserve">207  </v>
      </c>
      <c r="F348" t="str">
        <f>CLEAN("$0 - $99,999             ")</f>
        <v xml:space="preserve">$0 - $99,999             </v>
      </c>
      <c r="G348" t="str">
        <f>CLEAN("LET")</f>
        <v>LET</v>
      </c>
      <c r="H348" t="str">
        <f>CLEAN("LET CONSTRUCTION         ")</f>
        <v xml:space="preserve">LET CONSTRUCTION         </v>
      </c>
      <c r="I348" t="str">
        <f>CLEAN("RR/GEOMETRIC IMPROV/MILEPOST 105.19")</f>
        <v>RR/GEOMETRIC IMPROV/MILEPOST 105.19</v>
      </c>
      <c r="J348" t="str">
        <f>CLEAN("LOC STR")</f>
        <v>LOC STR</v>
      </c>
      <c r="K348" t="str">
        <f t="shared" si="139"/>
        <v xml:space="preserve">WAUKESHA                      </v>
      </c>
      <c r="L348" t="str">
        <f>CLEAN("VILLAGE OF PEWAUKEE, OAKTON AVENUE ")</f>
        <v xml:space="preserve">VILLAGE OF PEWAUKEE, OAKTON AVENUE </v>
      </c>
      <c r="M348" t="str">
        <f>CLEAN("SOO (CP) RAILROAD ID 390530N       ")</f>
        <v xml:space="preserve">SOO (CP) RAILROAD ID 390530N       </v>
      </c>
      <c r="N348">
        <v>0</v>
      </c>
      <c r="O348" t="str">
        <f t="shared" si="138"/>
        <v xml:space="preserve">          </v>
      </c>
      <c r="P348" t="str">
        <f>CLEAN("SAFETY - RAILROAD, ELIMINATION OF HAZARDS                                                           ")</f>
        <v xml:space="preserve">SAFETY - RAILROAD, ELIMINATION OF HAZARDS                                                           </v>
      </c>
    </row>
    <row r="349" spans="1:16" x14ac:dyDescent="0.25">
      <c r="A349" t="str">
        <f t="shared" ref="A349:A380" si="140">CLEAN("10")</f>
        <v>10</v>
      </c>
      <c r="B349" t="str">
        <f t="shared" ref="B349:B377" si="141">CLEAN("22")</f>
        <v>22</v>
      </c>
      <c r="C349" s="1">
        <v>45986</v>
      </c>
      <c r="D349" t="str">
        <f>CLEAN("2718-09-02")</f>
        <v>2718-09-02</v>
      </c>
      <c r="E349" t="str">
        <f>CLEAN("211  ")</f>
        <v xml:space="preserve">211  </v>
      </c>
      <c r="F349" t="str">
        <f>CLEAN("$3,000,000 - $3,999,999  ")</f>
        <v xml:space="preserve">$3,000,000 - $3,999,999  </v>
      </c>
      <c r="G349" t="str">
        <f>CLEAN("TST")</f>
        <v>TST</v>
      </c>
      <c r="H349" t="str">
        <f>CLEAN("NONLET CONSTR/REAL ESTATE")</f>
        <v>NONLET CONSTR/REAL ESTATE</v>
      </c>
      <c r="I349" t="str">
        <f>CLEAN("TST/BUS PURCHASE                   ")</f>
        <v xml:space="preserve">TST/BUS PURCHASE                   </v>
      </c>
      <c r="J349" t="str">
        <f>CLEAN("NON HWY")</f>
        <v>NON HWY</v>
      </c>
      <c r="K349" t="str">
        <f t="shared" si="139"/>
        <v xml:space="preserve">WAUKESHA                      </v>
      </c>
      <c r="L349" t="str">
        <f>CLEAN("TRANSIT SYSTEM VEHICLE REPLACEMENT ")</f>
        <v xml:space="preserve">TRANSIT SYSTEM VEHICLE REPLACEMENT </v>
      </c>
      <c r="M349" t="str">
        <f>CLEAN("THREE WAUKESHA CITY BUSES          ")</f>
        <v xml:space="preserve">THREE WAUKESHA CITY BUSES          </v>
      </c>
      <c r="N349">
        <v>0</v>
      </c>
      <c r="O349" t="str">
        <f t="shared" si="138"/>
        <v xml:space="preserve">          </v>
      </c>
      <c r="P349" t="str">
        <f>CLEAN("CONGESTION MITIGATION AND AIR QUALITY (CMAQ)                                                        ")</f>
        <v xml:space="preserve">CONGESTION MITIGATION AND AIR QUALITY (CMAQ)                                                        </v>
      </c>
    </row>
    <row r="350" spans="1:16" x14ac:dyDescent="0.25">
      <c r="A350" t="str">
        <f t="shared" si="140"/>
        <v>10</v>
      </c>
      <c r="B350" t="str">
        <f t="shared" si="141"/>
        <v>22</v>
      </c>
      <c r="C350" s="1">
        <v>46228</v>
      </c>
      <c r="D350" t="str">
        <f>CLEAN("2718-19-10")</f>
        <v>2718-19-10</v>
      </c>
      <c r="E350" t="str">
        <f>CLEAN("206  ")</f>
        <v xml:space="preserve">206  </v>
      </c>
      <c r="F350" t="str">
        <f>CLEAN("$500,000 - $749,999      ")</f>
        <v xml:space="preserve">$500,000 - $749,999      </v>
      </c>
      <c r="G350" t="str">
        <f>CLEAN("TST")</f>
        <v>TST</v>
      </c>
      <c r="H350" t="str">
        <f>CLEAN("NONLET CONSTR/REAL ESTATE")</f>
        <v>NONLET CONSTR/REAL ESTATE</v>
      </c>
      <c r="I350" t="str">
        <f>CLEAN("TST/BUS PURCHASE                   ")</f>
        <v xml:space="preserve">TST/BUS PURCHASE                   </v>
      </c>
      <c r="J350" t="str">
        <f>CLEAN("NON HWY")</f>
        <v>NON HWY</v>
      </c>
      <c r="K350" t="str">
        <f t="shared" si="139"/>
        <v xml:space="preserve">WAUKESHA                      </v>
      </c>
      <c r="L350" t="str">
        <f>CLEAN("CITY OF WAUKESHA BUS PURCHASE      ")</f>
        <v xml:space="preserve">CITY OF WAUKESHA BUS PURCHASE      </v>
      </c>
      <c r="M350" t="str">
        <f>CLEAN("PURCHASE 1 NEW 35 FT BUS           ")</f>
        <v xml:space="preserve">PURCHASE 1 NEW 35 FT BUS           </v>
      </c>
      <c r="N350">
        <v>0</v>
      </c>
      <c r="O350" t="str">
        <f t="shared" si="138"/>
        <v xml:space="preserve">          </v>
      </c>
      <c r="P350" t="str">
        <f>CLEAN("STP URBAN OVER 200,000                                                                              ")</f>
        <v xml:space="preserve">STP URBAN OVER 200,000                                                                              </v>
      </c>
    </row>
    <row r="351" spans="1:16" x14ac:dyDescent="0.25">
      <c r="A351" t="str">
        <f t="shared" si="140"/>
        <v>10</v>
      </c>
      <c r="B351" t="str">
        <f t="shared" si="141"/>
        <v>22</v>
      </c>
      <c r="C351" s="1">
        <v>46091</v>
      </c>
      <c r="D351" t="str">
        <f>CLEAN("2720-09-71")</f>
        <v>2720-09-71</v>
      </c>
      <c r="E351" t="str">
        <f>CLEAN("205  ")</f>
        <v xml:space="preserve">205  </v>
      </c>
      <c r="F351" t="str">
        <f>CLEAN("$2,000,000 - $2,999,999  ")</f>
        <v xml:space="preserve">$2,000,000 - $2,999,999  </v>
      </c>
      <c r="G351" t="str">
        <f>CLEAN("LET")</f>
        <v>LET</v>
      </c>
      <c r="H351" t="str">
        <f>CLEAN("LET CONSTRUCTION         ")</f>
        <v xml:space="preserve">LET CONSTRUCTION         </v>
      </c>
      <c r="I351" t="str">
        <f>CLEAN("CONST/BRRPL                        ")</f>
        <v xml:space="preserve">CONST/BRRPL                        </v>
      </c>
      <c r="J351" t="str">
        <f>CLEAN("LOC STR")</f>
        <v>LOC STR</v>
      </c>
      <c r="K351" t="str">
        <f t="shared" si="139"/>
        <v xml:space="preserve">WAUKESHA                      </v>
      </c>
      <c r="L351" t="str">
        <f>CLEAN("V MENOMONEE FALLS, CAMPBELL DR     ")</f>
        <v xml:space="preserve">V MENOMONEE FALLS, CAMPBELL DR     </v>
      </c>
      <c r="M351" t="str">
        <f>CLEAN("BUTLER DITCH BRIDGE P67-0775       ")</f>
        <v xml:space="preserve">BUTLER DITCH BRIDGE P67-0775       </v>
      </c>
      <c r="N351">
        <v>0</v>
      </c>
      <c r="O351" t="str">
        <f t="shared" si="138"/>
        <v xml:space="preserve">          </v>
      </c>
      <c r="P351" t="str">
        <f>CLEAN("LOCAL BRIDGES                                                                                       ")</f>
        <v xml:space="preserve">LOCAL BRIDGES                                                                                       </v>
      </c>
    </row>
    <row r="352" spans="1:16" x14ac:dyDescent="0.25">
      <c r="A352" t="str">
        <f t="shared" si="140"/>
        <v>10</v>
      </c>
      <c r="B352" t="str">
        <f t="shared" si="141"/>
        <v>22</v>
      </c>
      <c r="C352" s="1">
        <v>46259</v>
      </c>
      <c r="D352" t="str">
        <f>CLEAN("2722-04-51")</f>
        <v>2722-04-51</v>
      </c>
      <c r="E352" t="str">
        <f>CLEAN("206  ")</f>
        <v xml:space="preserve">206  </v>
      </c>
      <c r="F352" t="str">
        <f>CLEAN("$750,000 - $999,999      ")</f>
        <v xml:space="preserve">$750,000 - $999,999      </v>
      </c>
      <c r="G352" t="str">
        <f>CLEAN("R/R")</f>
        <v>R/R</v>
      </c>
      <c r="H352" t="str">
        <f t="shared" ref="H352:H360" si="142">CLEAN("NONLET CONSTR/REAL ESTATE")</f>
        <v>NONLET CONSTR/REAL ESTATE</v>
      </c>
      <c r="I352" t="str">
        <f>CLEAN("RR/XING SIGNALS/UPRR DOT 177286L   ")</f>
        <v xml:space="preserve">RR/XING SIGNALS/UPRR DOT 177286L   </v>
      </c>
      <c r="J352" t="str">
        <f>CLEAN("CTH O  ")</f>
        <v xml:space="preserve">CTH O  </v>
      </c>
      <c r="K352" t="str">
        <f t="shared" si="139"/>
        <v xml:space="preserve">WAUKESHA                      </v>
      </c>
      <c r="L352" t="str">
        <f>CLEAN("C NEW BERLIN, MOORLAND ROAD        ")</f>
        <v xml:space="preserve">C NEW BERLIN, MOORLAND ROAD        </v>
      </c>
      <c r="M352" t="str">
        <f>CLEAN("CTH D TO STH 59                    ")</f>
        <v xml:space="preserve">CTH D TO STH 59                    </v>
      </c>
      <c r="N352">
        <v>0</v>
      </c>
      <c r="O352" t="str">
        <f t="shared" si="138"/>
        <v xml:space="preserve">          </v>
      </c>
      <c r="P352" t="str">
        <f>CLEAN("STP URBAN OVER 200,000                                                                              ")</f>
        <v xml:space="preserve">STP URBAN OVER 200,000                                                                              </v>
      </c>
    </row>
    <row r="353" spans="1:16" x14ac:dyDescent="0.25">
      <c r="A353" t="str">
        <f t="shared" si="140"/>
        <v>10</v>
      </c>
      <c r="B353" t="str">
        <f t="shared" si="141"/>
        <v>22</v>
      </c>
      <c r="C353" s="1">
        <v>45925</v>
      </c>
      <c r="D353" t="str">
        <f>CLEAN("2722-08-42")</f>
        <v>2722-08-42</v>
      </c>
      <c r="E353" t="str">
        <f>CLEAN("206  ")</f>
        <v xml:space="preserve">206  </v>
      </c>
      <c r="F353" t="str">
        <f>CLEAN("$250,000 - $499,999      ")</f>
        <v xml:space="preserve">$250,000 - $499,999      </v>
      </c>
      <c r="G353" t="str">
        <f>CLEAN("UTL")</f>
        <v>UTL</v>
      </c>
      <c r="H353" t="str">
        <f t="shared" si="142"/>
        <v>NONLET CONSTR/REAL ESTATE</v>
      </c>
      <c r="I353" t="str">
        <f>CLEAN("UTIL/RECSTE                        ")</f>
        <v xml:space="preserve">UTIL/RECSTE                        </v>
      </c>
      <c r="J353" t="str">
        <f>CLEAN("CTH O  ")</f>
        <v xml:space="preserve">CTH O  </v>
      </c>
      <c r="K353" t="str">
        <f t="shared" si="139"/>
        <v xml:space="preserve">WAUKESHA                      </v>
      </c>
      <c r="L353" t="str">
        <f>CLEAN("NEW BERLIN - BROOKFIELD            ")</f>
        <v xml:space="preserve">NEW BERLIN - BROOKFIELD            </v>
      </c>
      <c r="M353" t="str">
        <f>CLEAN("CTH HH TO GRANGE AVENUE            ")</f>
        <v xml:space="preserve">CTH HH TO GRANGE AVENUE            </v>
      </c>
      <c r="N353">
        <v>1.0649999999999999</v>
      </c>
      <c r="O353" t="str">
        <f t="shared" si="138"/>
        <v xml:space="preserve">          </v>
      </c>
      <c r="P353" t="str">
        <f>CLEAN("STP URBAN OVER 200,000                                                                              ")</f>
        <v xml:space="preserve">STP URBAN OVER 200,000                                                                              </v>
      </c>
    </row>
    <row r="354" spans="1:16" x14ac:dyDescent="0.25">
      <c r="A354" t="str">
        <f t="shared" si="140"/>
        <v>10</v>
      </c>
      <c r="B354" t="str">
        <f t="shared" si="141"/>
        <v>22</v>
      </c>
      <c r="C354" s="1">
        <v>45925</v>
      </c>
      <c r="D354" t="str">
        <f>CLEAN("2722-08-43")</f>
        <v>2722-08-43</v>
      </c>
      <c r="E354" t="str">
        <f>CLEAN("206  ")</f>
        <v xml:space="preserve">206  </v>
      </c>
      <c r="F354" t="str">
        <f>CLEAN("$1,000,000 - $1,999,999  ")</f>
        <v xml:space="preserve">$1,000,000 - $1,999,999  </v>
      </c>
      <c r="G354" t="str">
        <f>CLEAN("UTL")</f>
        <v>UTL</v>
      </c>
      <c r="H354" t="str">
        <f t="shared" si="142"/>
        <v>NONLET CONSTR/REAL ESTATE</v>
      </c>
      <c r="I354" t="str">
        <f>CLEAN("UTIL/RECSTE                        ")</f>
        <v xml:space="preserve">UTIL/RECSTE                        </v>
      </c>
      <c r="J354" t="str">
        <f>CLEAN("CTH O  ")</f>
        <v xml:space="preserve">CTH O  </v>
      </c>
      <c r="K354" t="str">
        <f t="shared" si="139"/>
        <v xml:space="preserve">WAUKESHA                      </v>
      </c>
      <c r="L354" t="str">
        <f>CLEAN("NEW BERLIN - BROOKFIELD            ")</f>
        <v xml:space="preserve">NEW BERLIN - BROOKFIELD            </v>
      </c>
      <c r="M354" t="str">
        <f>CLEAN("CTH HH TO GRANGE AVENUE            ")</f>
        <v xml:space="preserve">CTH HH TO GRANGE AVENUE            </v>
      </c>
      <c r="N354">
        <v>1.0649999999999999</v>
      </c>
      <c r="O354" t="str">
        <f t="shared" si="138"/>
        <v xml:space="preserve">          </v>
      </c>
      <c r="P354" t="str">
        <f>CLEAN("STP URBAN OVER 200,000                                                                              ")</f>
        <v xml:space="preserve">STP URBAN OVER 200,000                                                                              </v>
      </c>
    </row>
    <row r="355" spans="1:16" x14ac:dyDescent="0.25">
      <c r="A355" t="str">
        <f t="shared" si="140"/>
        <v>10</v>
      </c>
      <c r="B355" t="str">
        <f t="shared" si="141"/>
        <v>22</v>
      </c>
      <c r="C355" s="1">
        <v>46228</v>
      </c>
      <c r="D355" t="str">
        <f>CLEAN("2779-05-20")</f>
        <v>2779-05-20</v>
      </c>
      <c r="E355" t="str">
        <f>CLEAN("206  ")</f>
        <v xml:space="preserve">206  </v>
      </c>
      <c r="F355" t="str">
        <f>CLEAN("$250,000 - $499,999      ")</f>
        <v xml:space="preserve">$250,000 - $499,999      </v>
      </c>
      <c r="G355" t="str">
        <f>CLEAN("R/E")</f>
        <v>R/E</v>
      </c>
      <c r="H355" t="str">
        <f t="shared" si="142"/>
        <v>NONLET CONSTR/REAL ESTATE</v>
      </c>
      <c r="I355" t="str">
        <f>CLEAN("RE/RCND20                          ")</f>
        <v xml:space="preserve">RE/RCND20                          </v>
      </c>
      <c r="J355" t="str">
        <f>CLEAN("CTH Y  ")</f>
        <v xml:space="preserve">CTH Y  </v>
      </c>
      <c r="K355" t="str">
        <f t="shared" si="139"/>
        <v xml:space="preserve">WAUKESHA                      </v>
      </c>
      <c r="L355" t="str">
        <f>CLEAN("C MUSKEGO, RACINE AVENUE           ")</f>
        <v xml:space="preserve">C MUSKEGO, RACINE AVENUE           </v>
      </c>
      <c r="M355" t="str">
        <f>CLEAN("CTH L TO CTH HH                    ")</f>
        <v xml:space="preserve">CTH L TO CTH HH                    </v>
      </c>
      <c r="N355">
        <v>2.1030000000000002</v>
      </c>
      <c r="O355" t="str">
        <f t="shared" si="138"/>
        <v xml:space="preserve">          </v>
      </c>
      <c r="P355" t="str">
        <f>CLEAN("STP URBAN OVER 200,000                                                                              ")</f>
        <v xml:space="preserve">STP URBAN OVER 200,000                                                                              </v>
      </c>
    </row>
    <row r="356" spans="1:16" x14ac:dyDescent="0.25">
      <c r="A356" t="str">
        <f t="shared" si="140"/>
        <v>10</v>
      </c>
      <c r="B356" t="str">
        <f t="shared" si="141"/>
        <v>22</v>
      </c>
      <c r="C356" s="1">
        <v>45925</v>
      </c>
      <c r="D356" t="str">
        <f>CLEAN("2966-00-91")</f>
        <v>2966-00-91</v>
      </c>
      <c r="E356" t="str">
        <f>CLEAN("211  ")</f>
        <v xml:space="preserve">211  </v>
      </c>
      <c r="F356" t="str">
        <f>CLEAN("$0 - $99,999             ")</f>
        <v xml:space="preserve">$0 - $99,999             </v>
      </c>
      <c r="G356" t="str">
        <f>CLEAN("MIS")</f>
        <v>MIS</v>
      </c>
      <c r="H356" t="str">
        <f t="shared" si="142"/>
        <v>NONLET CONSTR/REAL ESTATE</v>
      </c>
      <c r="I356" t="str">
        <f>CLEAN("MIS/PROCUREMENT                    ")</f>
        <v xml:space="preserve">MIS/PROCUREMENT                    </v>
      </c>
      <c r="J356" t="str">
        <f>CLEAN("NON HWY")</f>
        <v>NON HWY</v>
      </c>
      <c r="K356" t="str">
        <f t="shared" ref="K356:K377" si="143">CLEAN("MILWAUKEE                     ")</f>
        <v xml:space="preserve">MILWAUKEE                     </v>
      </c>
      <c r="L356" t="str">
        <f>CLEAN("BAYSIDE LOWER EMISSIONS INITIATIVE ")</f>
        <v xml:space="preserve">BAYSIDE LOWER EMISSIONS INITIATIVE </v>
      </c>
      <c r="M356" t="str">
        <f>CLEAN("VILLAGE WIDE                       ")</f>
        <v xml:space="preserve">VILLAGE WIDE                       </v>
      </c>
      <c r="N356">
        <v>0</v>
      </c>
      <c r="O356" t="str">
        <f t="shared" si="138"/>
        <v xml:space="preserve">          </v>
      </c>
      <c r="P356" t="str">
        <f>CLEAN("CONGESTION MITIGATION AND AIR QUALITY (CMAQ)                                                        ")</f>
        <v xml:space="preserve">CONGESTION MITIGATION AND AIR QUALITY (CMAQ)                                                        </v>
      </c>
    </row>
    <row r="357" spans="1:16" x14ac:dyDescent="0.25">
      <c r="A357" t="str">
        <f t="shared" si="140"/>
        <v>10</v>
      </c>
      <c r="B357" t="str">
        <f t="shared" si="141"/>
        <v>22</v>
      </c>
      <c r="C357" s="1">
        <v>45894</v>
      </c>
      <c r="D357" t="str">
        <f>CLEAN("2967-11-71")</f>
        <v>2967-11-71</v>
      </c>
      <c r="E357" t="str">
        <f>CLEAN("211  ")</f>
        <v xml:space="preserve">211  </v>
      </c>
      <c r="F357" t="str">
        <f>CLEAN("$1,000,000 - $1,999,999  ")</f>
        <v xml:space="preserve">$1,000,000 - $1,999,999  </v>
      </c>
      <c r="G357" t="str">
        <f>CLEAN("LLC")</f>
        <v>LLC</v>
      </c>
      <c r="H357" t="str">
        <f t="shared" si="142"/>
        <v>NONLET CONSTR/REAL ESTATE</v>
      </c>
      <c r="I357" t="str">
        <f>CLEAN("CONST/PED BIKE FACILITIES          ")</f>
        <v xml:space="preserve">CONST/PED BIKE FACILITIES          </v>
      </c>
      <c r="J357" t="str">
        <f>CLEAN("NON HWY")</f>
        <v>NON HWY</v>
      </c>
      <c r="K357" t="str">
        <f t="shared" si="143"/>
        <v xml:space="preserve">MILWAUKEE                     </v>
      </c>
      <c r="L357" t="str">
        <f>CLEAN("OAK LEAF TR CONNECTIVITY-BENDER PRK")</f>
        <v>OAK LEAF TR CONNECTIVITY-BENDER PRK</v>
      </c>
      <c r="M357" t="str">
        <f>CLEAN("BENDER PARK                        ")</f>
        <v xml:space="preserve">BENDER PARK                        </v>
      </c>
      <c r="N357">
        <v>0</v>
      </c>
      <c r="O357" t="str">
        <f t="shared" si="138"/>
        <v xml:space="preserve">          </v>
      </c>
      <c r="P357" t="str">
        <f>CLEAN("CONGESTION MITIGATION AND AIR QUALITY (CMAQ)                                                        ")</f>
        <v xml:space="preserve">CONGESTION MITIGATION AND AIR QUALITY (CMAQ)                                                        </v>
      </c>
    </row>
    <row r="358" spans="1:16" x14ac:dyDescent="0.25">
      <c r="A358" t="str">
        <f t="shared" si="140"/>
        <v>10</v>
      </c>
      <c r="B358" t="str">
        <f t="shared" si="141"/>
        <v>22</v>
      </c>
      <c r="C358" s="1">
        <v>46228</v>
      </c>
      <c r="D358" t="str">
        <f>CLEAN("2967-22-71")</f>
        <v>2967-22-71</v>
      </c>
      <c r="E358" t="str">
        <f>CLEAN("290  ")</f>
        <v xml:space="preserve">290  </v>
      </c>
      <c r="F358" t="str">
        <f>CLEAN("$1,000,000 - $1,999,999  ")</f>
        <v xml:space="preserve">$1,000,000 - $1,999,999  </v>
      </c>
      <c r="G358" t="str">
        <f>CLEAN("LLC")</f>
        <v>LLC</v>
      </c>
      <c r="H358" t="str">
        <f t="shared" si="142"/>
        <v>NONLET CONSTR/REAL ESTATE</v>
      </c>
      <c r="I358" t="str">
        <f>CLEAN("CONST/TRAIL                        ")</f>
        <v xml:space="preserve">CONST/TRAIL                        </v>
      </c>
      <c r="J358" t="str">
        <f>CLEAN("NON HWY")</f>
        <v>NON HWY</v>
      </c>
      <c r="K358" t="str">
        <f t="shared" si="143"/>
        <v xml:space="preserve">MILWAUKEE                     </v>
      </c>
      <c r="L358" t="str">
        <f>CLEAN("OAK LEAF TRAIL ACCESS RAMP         ")</f>
        <v xml:space="preserve">OAK LEAF TRAIL ACCESS RAMP         </v>
      </c>
      <c r="M358" t="str">
        <f>CLEAN("CONNECTS TR AT HAMPSHIRE/CAMBRIDGE ")</f>
        <v xml:space="preserve">CONNECTS TR AT HAMPSHIRE/CAMBRIDGE </v>
      </c>
      <c r="N358">
        <v>0</v>
      </c>
      <c r="O358" t="str">
        <f t="shared" si="138"/>
        <v xml:space="preserve">          </v>
      </c>
      <c r="P358" t="str">
        <f>CLEAN("TAP &gt; 200,000                                                                                       ")</f>
        <v xml:space="preserve">TAP &gt; 200,000                                                                                       </v>
      </c>
    </row>
    <row r="359" spans="1:16" x14ac:dyDescent="0.25">
      <c r="A359" t="str">
        <f t="shared" si="140"/>
        <v>10</v>
      </c>
      <c r="B359" t="str">
        <f t="shared" si="141"/>
        <v>22</v>
      </c>
      <c r="C359" s="1">
        <v>46078</v>
      </c>
      <c r="D359" t="str">
        <f>CLEAN("2967-22-72")</f>
        <v>2967-22-72</v>
      </c>
      <c r="E359" t="str">
        <f>CLEAN("290  ")</f>
        <v xml:space="preserve">290  </v>
      </c>
      <c r="F359" t="str">
        <f>CLEAN("$2,000,000 - $2,999,999  ")</f>
        <v xml:space="preserve">$2,000,000 - $2,999,999  </v>
      </c>
      <c r="G359" t="str">
        <f>CLEAN("LLC")</f>
        <v>LLC</v>
      </c>
      <c r="H359" t="str">
        <f t="shared" si="142"/>
        <v>NONLET CONSTR/REAL ESTATE</v>
      </c>
      <c r="I359" t="str">
        <f>CLEAN("CONST/TRAIL                        ")</f>
        <v xml:space="preserve">CONST/TRAIL                        </v>
      </c>
      <c r="J359" t="str">
        <f>CLEAN("NON HWY")</f>
        <v>NON HWY</v>
      </c>
      <c r="K359" t="str">
        <f t="shared" si="143"/>
        <v xml:space="preserve">MILWAUKEE                     </v>
      </c>
      <c r="L359" t="str">
        <f>CLEAN("OAK LEAF TRAIL MODERNIZATION       ")</f>
        <v xml:space="preserve">OAK LEAF TRAIL MODERNIZATION       </v>
      </c>
      <c r="M359" t="str">
        <f>CLEAN("MILWAUKEE COUNTY WIDE ALONG OLT    ")</f>
        <v xml:space="preserve">MILWAUKEE COUNTY WIDE ALONG OLT    </v>
      </c>
      <c r="N359">
        <v>0</v>
      </c>
      <c r="O359" t="str">
        <f t="shared" si="138"/>
        <v xml:space="preserve">          </v>
      </c>
      <c r="P359" t="str">
        <f>CLEAN("TAP &gt; 200,000                                                                                       ")</f>
        <v xml:space="preserve">TAP &gt; 200,000                                                                                       </v>
      </c>
    </row>
    <row r="360" spans="1:16" x14ac:dyDescent="0.25">
      <c r="A360" t="str">
        <f t="shared" si="140"/>
        <v>10</v>
      </c>
      <c r="B360" t="str">
        <f t="shared" si="141"/>
        <v>22</v>
      </c>
      <c r="C360" s="1">
        <v>45986</v>
      </c>
      <c r="D360" t="str">
        <f>CLEAN("2980-08-70")</f>
        <v>2980-08-70</v>
      </c>
      <c r="E360" t="str">
        <f>CLEAN("211  ")</f>
        <v xml:space="preserve">211  </v>
      </c>
      <c r="F360" t="str">
        <f>CLEAN("$750,000 - $999,999      ")</f>
        <v xml:space="preserve">$750,000 - $999,999      </v>
      </c>
      <c r="G360" t="str">
        <f>CLEAN("LLC")</f>
        <v>LLC</v>
      </c>
      <c r="H360" t="str">
        <f t="shared" si="142"/>
        <v>NONLET CONSTR/REAL ESTATE</v>
      </c>
      <c r="I360" t="str">
        <f>CLEAN("CONST/PED BIKE TRAIL               ")</f>
        <v xml:space="preserve">CONST/PED BIKE TRAIL               </v>
      </c>
      <c r="J360" t="str">
        <f>CLEAN("NON HWY")</f>
        <v>NON HWY</v>
      </c>
      <c r="K360" t="str">
        <f t="shared" si="143"/>
        <v xml:space="preserve">MILWAUKEE                     </v>
      </c>
      <c r="L360" t="str">
        <f>CLEAN("POWERLINE TRAIL PHASE 3            ")</f>
        <v xml:space="preserve">POWERLINE TRAIL PHASE 3            </v>
      </c>
      <c r="M360" t="str">
        <f>CLEAN("W EDGERTON AVE TO OLT &amp; S MEADOW DR")</f>
        <v>W EDGERTON AVE TO OLT &amp; S MEADOW DR</v>
      </c>
      <c r="N360">
        <v>0</v>
      </c>
      <c r="O360" t="str">
        <f t="shared" si="138"/>
        <v xml:space="preserve">          </v>
      </c>
      <c r="P360" t="str">
        <f>CLEAN("CONGESTION MITIGATION AND AIR QUALITY (CMAQ)                                                        ")</f>
        <v xml:space="preserve">CONGESTION MITIGATION AND AIR QUALITY (CMAQ)                                                        </v>
      </c>
    </row>
    <row r="361" spans="1:16" x14ac:dyDescent="0.25">
      <c r="A361" t="str">
        <f t="shared" si="140"/>
        <v>10</v>
      </c>
      <c r="B361" t="str">
        <f t="shared" si="141"/>
        <v>22</v>
      </c>
      <c r="C361" s="1">
        <v>46063</v>
      </c>
      <c r="D361" t="str">
        <f>CLEAN("2984-01-79")</f>
        <v>2984-01-79</v>
      </c>
      <c r="E361" t="str">
        <f>CLEAN("206  ")</f>
        <v xml:space="preserve">206  </v>
      </c>
      <c r="F361" t="str">
        <f>CLEAN("$1,000,000 - $1,999,999  ")</f>
        <v xml:space="preserve">$1,000,000 - $1,999,999  </v>
      </c>
      <c r="G361" t="str">
        <f>CLEAN("LET")</f>
        <v>LET</v>
      </c>
      <c r="H361" t="str">
        <f>CLEAN("LET CONSTRUCTION         ")</f>
        <v xml:space="preserve">LET CONSTRUCTION         </v>
      </c>
      <c r="I361" t="str">
        <f>CLEAN("CONST/TRAFFIC SIGNALS              ")</f>
        <v xml:space="preserve">CONST/TRAFFIC SIGNALS              </v>
      </c>
      <c r="J361" t="str">
        <f>CLEAN("LOC STR")</f>
        <v>LOC STR</v>
      </c>
      <c r="K361" t="str">
        <f t="shared" si="143"/>
        <v xml:space="preserve">MILWAUKEE                     </v>
      </c>
      <c r="L361" t="str">
        <f>CLEAN("C MILWAUKEE, N 51ST ST             ")</f>
        <v xml:space="preserve">C MILWAUKEE, N 51ST ST             </v>
      </c>
      <c r="M361" t="str">
        <f>CLEAN("AT BURLEIGH AND CENTER             ")</f>
        <v xml:space="preserve">AT BURLEIGH AND CENTER             </v>
      </c>
      <c r="N361">
        <v>1.4999999999999999E-2</v>
      </c>
      <c r="O361" t="str">
        <f>CLEAN("2415-02-71")</f>
        <v>2415-02-71</v>
      </c>
      <c r="P361" t="str">
        <f>CLEAN("SAFETY (REGULAR HSIP)                                                                               ")</f>
        <v xml:space="preserve">SAFETY (REGULAR HSIP)                                                                               </v>
      </c>
    </row>
    <row r="362" spans="1:16" x14ac:dyDescent="0.25">
      <c r="A362" t="str">
        <f t="shared" si="140"/>
        <v>10</v>
      </c>
      <c r="B362" t="str">
        <f t="shared" si="141"/>
        <v>22</v>
      </c>
      <c r="C362" s="1">
        <v>45894</v>
      </c>
      <c r="D362" t="str">
        <f>CLEAN("2984-17-92")</f>
        <v>2984-17-92</v>
      </c>
      <c r="E362" t="str">
        <f>CLEAN("206  ")</f>
        <v xml:space="preserve">206  </v>
      </c>
      <c r="F362" t="str">
        <f>CLEAN("$2,000,000 - $2,999,999  ")</f>
        <v xml:space="preserve">$2,000,000 - $2,999,999  </v>
      </c>
      <c r="G362" t="str">
        <f>CLEAN("LLC")</f>
        <v>LLC</v>
      </c>
      <c r="H362" t="str">
        <f>CLEAN("NONLET CONSTR/REAL ESTATE")</f>
        <v>NONLET CONSTR/REAL ESTATE</v>
      </c>
      <c r="I362" t="str">
        <f>CLEAN("LFA/REPLACE LIGHTING               ")</f>
        <v xml:space="preserve">LFA/REPLACE LIGHTING               </v>
      </c>
      <c r="J362" t="str">
        <f>CLEAN("VAR HWY")</f>
        <v>VAR HWY</v>
      </c>
      <c r="K362" t="str">
        <f t="shared" si="143"/>
        <v xml:space="preserve">MILWAUKEE                     </v>
      </c>
      <c r="L362" t="str">
        <f>CLEAN("C MILWAUKEE, REPLACEMENT LIGHTING  ")</f>
        <v xml:space="preserve">C MILWAUKEE, REPLACEMENT LIGHTING  </v>
      </c>
      <c r="M362" t="str">
        <f>CLEAN("CENTER-JUNEAU &amp; 60TH-LAKE MICHIGAN ")</f>
        <v xml:space="preserve">CENTER-JUNEAU &amp; 60TH-LAKE MICHIGAN </v>
      </c>
      <c r="N362">
        <v>0</v>
      </c>
      <c r="O362" t="str">
        <f>CLEAN("          ")</f>
        <v xml:space="preserve">          </v>
      </c>
      <c r="P362" t="str">
        <f>CLEAN("CARBON REDUCTION OVER 200,000                                                                       ")</f>
        <v xml:space="preserve">CARBON REDUCTION OVER 200,000                                                                       </v>
      </c>
    </row>
    <row r="363" spans="1:16" x14ac:dyDescent="0.25">
      <c r="A363" t="str">
        <f t="shared" si="140"/>
        <v>10</v>
      </c>
      <c r="B363" t="str">
        <f t="shared" si="141"/>
        <v>22</v>
      </c>
      <c r="C363" s="1">
        <v>46167</v>
      </c>
      <c r="D363" t="str">
        <f>CLEAN("2984-17-93")</f>
        <v>2984-17-93</v>
      </c>
      <c r="E363" t="str">
        <f>CLEAN("206  ")</f>
        <v xml:space="preserve">206  </v>
      </c>
      <c r="F363" t="str">
        <f>CLEAN("$500,000 - $749,999      ")</f>
        <v xml:space="preserve">$500,000 - $749,999      </v>
      </c>
      <c r="G363" t="str">
        <f>CLEAN("LFA")</f>
        <v>LFA</v>
      </c>
      <c r="H363" t="str">
        <f>CLEAN("NONLET CONSTR/REAL ESTATE")</f>
        <v>NONLET CONSTR/REAL ESTATE</v>
      </c>
      <c r="I363" t="str">
        <f>CLEAN("LFA/TRAFFIC MANAGEMENT             ")</f>
        <v xml:space="preserve">LFA/TRAFFIC MANAGEMENT             </v>
      </c>
      <c r="J363" t="str">
        <f>CLEAN("VAR HWY")</f>
        <v>VAR HWY</v>
      </c>
      <c r="K363" t="str">
        <f t="shared" si="143"/>
        <v xml:space="preserve">MILWAUKEE                     </v>
      </c>
      <c r="L363" t="str">
        <f>CLEAN("C MILWAUKEE, TRAFFIC MANAGEMENT    ")</f>
        <v xml:space="preserve">C MILWAUKEE, TRAFFIC MANAGEMENT    </v>
      </c>
      <c r="M363" t="str">
        <f>CLEAN("LOCUST/NORTH/DR MLK 14INTERSECTIONS")</f>
        <v>LOCUST/NORTH/DR MLK 14INTERSECTIONS</v>
      </c>
      <c r="N363">
        <v>7.3999999999999996E-2</v>
      </c>
      <c r="O363" t="str">
        <f>CLEAN("          ")</f>
        <v xml:space="preserve">          </v>
      </c>
      <c r="P363" t="str">
        <f>CLEAN("CARBON REDUCTION OVER 200,000                                                                       ")</f>
        <v xml:space="preserve">CARBON REDUCTION OVER 200,000                                                                       </v>
      </c>
    </row>
    <row r="364" spans="1:16" x14ac:dyDescent="0.25">
      <c r="A364" t="str">
        <f t="shared" si="140"/>
        <v>10</v>
      </c>
      <c r="B364" t="str">
        <f t="shared" si="141"/>
        <v>22</v>
      </c>
      <c r="C364" s="1">
        <v>45972</v>
      </c>
      <c r="D364" t="str">
        <f>CLEAN("2984-21-71")</f>
        <v>2984-21-71</v>
      </c>
      <c r="E364" t="str">
        <f>CLEAN("206  ")</f>
        <v xml:space="preserve">206  </v>
      </c>
      <c r="F364" t="str">
        <f>CLEAN("$750,000 - $999,999      ")</f>
        <v xml:space="preserve">$750,000 - $999,999      </v>
      </c>
      <c r="G364" t="str">
        <f>CLEAN("LET")</f>
        <v>LET</v>
      </c>
      <c r="H364" t="str">
        <f>CLEAN("LET CONSTRUCTION         ")</f>
        <v xml:space="preserve">LET CONSTRUCTION         </v>
      </c>
      <c r="I364" t="str">
        <f>CLEAN("CONST/MISC                         ")</f>
        <v xml:space="preserve">CONST/MISC                         </v>
      </c>
      <c r="J364" t="str">
        <f>CLEAN("LOC STR")</f>
        <v>LOC STR</v>
      </c>
      <c r="K364" t="str">
        <f t="shared" si="143"/>
        <v xml:space="preserve">MILWAUKEE                     </v>
      </c>
      <c r="L364" t="str">
        <f>CLEAN("C MILWAUKEE - N 35TH ST            ")</f>
        <v xml:space="preserve">C MILWAUKEE - N 35TH ST            </v>
      </c>
      <c r="M364" t="str">
        <f>CLEAN("INTERSECTION WITH W CENTER ST      ")</f>
        <v xml:space="preserve">INTERSECTION WITH W CENTER ST      </v>
      </c>
      <c r="N364">
        <v>0</v>
      </c>
      <c r="O364" t="str">
        <f>CLEAN("2984-21-72")</f>
        <v>2984-21-72</v>
      </c>
      <c r="P364" t="str">
        <f>CLEAN("SAFETY (REGULAR HSIP)                                                                               ")</f>
        <v xml:space="preserve">SAFETY (REGULAR HSIP)                                                                               </v>
      </c>
    </row>
    <row r="365" spans="1:16" x14ac:dyDescent="0.25">
      <c r="A365" t="str">
        <f t="shared" si="140"/>
        <v>10</v>
      </c>
      <c r="B365" t="str">
        <f t="shared" si="141"/>
        <v>22</v>
      </c>
      <c r="C365" s="1">
        <v>45972</v>
      </c>
      <c r="D365" t="str">
        <f>CLEAN("2984-21-72")</f>
        <v>2984-21-72</v>
      </c>
      <c r="E365" t="str">
        <f>CLEAN("206  ")</f>
        <v xml:space="preserve">206  </v>
      </c>
      <c r="F365" t="str">
        <f>CLEAN("$1,000,000 - $1,999,999  ")</f>
        <v xml:space="preserve">$1,000,000 - $1,999,999  </v>
      </c>
      <c r="G365" t="str">
        <f>CLEAN("LET")</f>
        <v>LET</v>
      </c>
      <c r="H365" t="str">
        <f>CLEAN("LET CONSTRUCTION         ")</f>
        <v xml:space="preserve">LET CONSTRUCTION         </v>
      </c>
      <c r="I365" t="str">
        <f>CLEAN("CONST/FULL PS&amp;E ROW RECST          ")</f>
        <v xml:space="preserve">CONST/FULL PS&amp;E ROW RECST          </v>
      </c>
      <c r="J365" t="str">
        <f>CLEAN("LOC STR")</f>
        <v>LOC STR</v>
      </c>
      <c r="K365" t="str">
        <f t="shared" si="143"/>
        <v xml:space="preserve">MILWAUKEE                     </v>
      </c>
      <c r="L365" t="str">
        <f>CLEAN("C MILWAUKEE-N 35TH STREET          ")</f>
        <v xml:space="preserve">C MILWAUKEE-N 35TH STREET          </v>
      </c>
      <c r="M365" t="str">
        <f>CLEAN("INTERSECTIONS WITH NORTH &amp; LISBON  ")</f>
        <v xml:space="preserve">INTERSECTIONS WITH NORTH &amp; LISBON  </v>
      </c>
      <c r="N365">
        <v>0</v>
      </c>
      <c r="O365" t="str">
        <f>CLEAN("2984-21-71")</f>
        <v>2984-21-71</v>
      </c>
      <c r="P365" t="str">
        <f>CLEAN("SAFETY (REGULAR HSIP)                                                                               ")</f>
        <v xml:space="preserve">SAFETY (REGULAR HSIP)                                                                               </v>
      </c>
    </row>
    <row r="366" spans="1:16" x14ac:dyDescent="0.25">
      <c r="A366" t="str">
        <f t="shared" si="140"/>
        <v>10</v>
      </c>
      <c r="B366" t="str">
        <f t="shared" si="141"/>
        <v>22</v>
      </c>
      <c r="C366" s="1">
        <v>46137</v>
      </c>
      <c r="D366" t="str">
        <f>CLEAN("2984-22-54")</f>
        <v>2984-22-54</v>
      </c>
      <c r="E366" t="str">
        <f t="shared" ref="E366:E372" si="144">CLEAN("211  ")</f>
        <v xml:space="preserve">211  </v>
      </c>
      <c r="F366" t="str">
        <f>CLEAN("$0 - $99,999             ")</f>
        <v xml:space="preserve">$0 - $99,999             </v>
      </c>
      <c r="G366" t="str">
        <f>CLEAN("R/R")</f>
        <v>R/R</v>
      </c>
      <c r="H366" t="str">
        <f t="shared" ref="H366:H375" si="145">CLEAN("NONLET CONSTR/REAL ESTATE")</f>
        <v>NONLET CONSTR/REAL ESTATE</v>
      </c>
      <c r="I366" t="str">
        <f>CLEAN("RR/XING SIGNALS/UP RR 177148X      ")</f>
        <v xml:space="preserve">RR/XING SIGNALS/UP RR 177148X      </v>
      </c>
      <c r="J366" t="str">
        <f>CLEAN("NON HWY")</f>
        <v>NON HWY</v>
      </c>
      <c r="K366" t="str">
        <f t="shared" si="143"/>
        <v xml:space="preserve">MILWAUKEE                     </v>
      </c>
      <c r="L366" t="str">
        <f>CLEAN("KINNICKINNIC RVR TRAIL CONNECTIONS ")</f>
        <v xml:space="preserve">KINNICKINNIC RVR TRAIL CONNECTIONS </v>
      </c>
      <c r="M366" t="str">
        <f>CLEAN("VARIOUS LOCATIONS IN THE CITY      ")</f>
        <v xml:space="preserve">VARIOUS LOCATIONS IN THE CITY      </v>
      </c>
      <c r="N366">
        <v>0</v>
      </c>
      <c r="O366" t="str">
        <f t="shared" ref="O366:O397" si="146">CLEAN("          ")</f>
        <v xml:space="preserve">          </v>
      </c>
      <c r="P366" t="str">
        <f t="shared" ref="P366:P372" si="147">CLEAN("CONGESTION MITIGATION AND AIR QUALITY (CMAQ)                                                        ")</f>
        <v xml:space="preserve">CONGESTION MITIGATION AND AIR QUALITY (CMAQ)                                                        </v>
      </c>
    </row>
    <row r="367" spans="1:16" x14ac:dyDescent="0.25">
      <c r="A367" t="str">
        <f t="shared" si="140"/>
        <v>10</v>
      </c>
      <c r="B367" t="str">
        <f t="shared" si="141"/>
        <v>22</v>
      </c>
      <c r="C367" s="1">
        <v>46137</v>
      </c>
      <c r="D367" t="str">
        <f>CLEAN("2984-22-74")</f>
        <v>2984-22-74</v>
      </c>
      <c r="E367" t="str">
        <f t="shared" si="144"/>
        <v xml:space="preserve">211  </v>
      </c>
      <c r="F367" t="str">
        <f>CLEAN("$750,000 - $999,999      ")</f>
        <v xml:space="preserve">$750,000 - $999,999      </v>
      </c>
      <c r="G367" t="str">
        <f>CLEAN("LLC")</f>
        <v>LLC</v>
      </c>
      <c r="H367" t="str">
        <f t="shared" si="145"/>
        <v>NONLET CONSTR/REAL ESTATE</v>
      </c>
      <c r="I367" t="str">
        <f>CLEAN("CONST/PED BIKE FACILITIES          ")</f>
        <v xml:space="preserve">CONST/PED BIKE FACILITIES          </v>
      </c>
      <c r="J367" t="str">
        <f>CLEAN("NON HWY")</f>
        <v>NON HWY</v>
      </c>
      <c r="K367" t="str">
        <f t="shared" si="143"/>
        <v xml:space="preserve">MILWAUKEE                     </v>
      </c>
      <c r="L367" t="str">
        <f>CLEAN("KINNICKINNIC RVR TRAIL CONNECTIONS ")</f>
        <v xml:space="preserve">KINNICKINNIC RVR TRAIL CONNECTIONS </v>
      </c>
      <c r="M367" t="str">
        <f>CLEAN("VARIOUS LOCATIONS IN THE CITY      ")</f>
        <v xml:space="preserve">VARIOUS LOCATIONS IN THE CITY      </v>
      </c>
      <c r="N367">
        <v>0</v>
      </c>
      <c r="O367" t="str">
        <f t="shared" si="146"/>
        <v xml:space="preserve">          </v>
      </c>
      <c r="P367" t="str">
        <f t="shared" si="147"/>
        <v xml:space="preserve">CONGESTION MITIGATION AND AIR QUALITY (CMAQ)                                                        </v>
      </c>
    </row>
    <row r="368" spans="1:16" x14ac:dyDescent="0.25">
      <c r="A368" t="str">
        <f t="shared" si="140"/>
        <v>10</v>
      </c>
      <c r="B368" t="str">
        <f t="shared" si="141"/>
        <v>22</v>
      </c>
      <c r="C368" s="1">
        <v>46016</v>
      </c>
      <c r="D368" t="str">
        <f>CLEAN("2984-22-97")</f>
        <v>2984-22-97</v>
      </c>
      <c r="E368" t="str">
        <f t="shared" si="144"/>
        <v xml:space="preserve">211  </v>
      </c>
      <c r="F368" t="str">
        <f>CLEAN("$1,000,000 - $1,999,999  ")</f>
        <v xml:space="preserve">$1,000,000 - $1,999,999  </v>
      </c>
      <c r="G368" t="str">
        <f>CLEAN("LFA")</f>
        <v>LFA</v>
      </c>
      <c r="H368" t="str">
        <f t="shared" si="145"/>
        <v>NONLET CONSTR/REAL ESTATE</v>
      </c>
      <c r="I368" t="str">
        <f>CLEAN("CONST LFA-ATC/COMM UPGRADE         ")</f>
        <v xml:space="preserve">CONST LFA-ATC/COMM UPGRADE         </v>
      </c>
      <c r="J368" t="str">
        <f>CLEAN("NON HWY")</f>
        <v>NON HWY</v>
      </c>
      <c r="K368" t="str">
        <f t="shared" si="143"/>
        <v xml:space="preserve">MILWAUKEE                     </v>
      </c>
      <c r="L368" t="str">
        <f>CLEAN("ATC CONTROLLER &amp; COMM UPGRADE GR 9 ")</f>
        <v xml:space="preserve">ATC CONTROLLER &amp; COMM UPGRADE GR 9 </v>
      </c>
      <c r="M368" t="str">
        <f>CLEAN("44 INTERSECTIONS                   ")</f>
        <v xml:space="preserve">44 INTERSECTIONS                   </v>
      </c>
      <c r="N368">
        <v>0</v>
      </c>
      <c r="O368" t="str">
        <f t="shared" si="146"/>
        <v xml:space="preserve">          </v>
      </c>
      <c r="P368" t="str">
        <f t="shared" si="147"/>
        <v xml:space="preserve">CONGESTION MITIGATION AND AIR QUALITY (CMAQ)                                                        </v>
      </c>
    </row>
    <row r="369" spans="1:16" x14ac:dyDescent="0.25">
      <c r="A369" t="str">
        <f t="shared" si="140"/>
        <v>10</v>
      </c>
      <c r="B369" t="str">
        <f t="shared" si="141"/>
        <v>22</v>
      </c>
      <c r="C369" s="1">
        <v>45925</v>
      </c>
      <c r="D369" t="str">
        <f>CLEAN("2984-24-82")</f>
        <v>2984-24-82</v>
      </c>
      <c r="E369" t="str">
        <f t="shared" si="144"/>
        <v xml:space="preserve">211  </v>
      </c>
      <c r="F369" t="str">
        <f>CLEAN("$2,000,000 - $2,999,999  ")</f>
        <v xml:space="preserve">$2,000,000 - $2,999,999  </v>
      </c>
      <c r="G369" t="str">
        <f>CLEAN("MIS")</f>
        <v>MIS</v>
      </c>
      <c r="H369" t="str">
        <f t="shared" si="145"/>
        <v>NONLET CONSTR/REAL ESTATE</v>
      </c>
      <c r="I369" t="str">
        <f>CLEAN("MIS/PROCURE ELECTRIC VEHICLES      ")</f>
        <v xml:space="preserve">MIS/PROCURE ELECTRIC VEHICLES      </v>
      </c>
      <c r="J369" t="str">
        <f>CLEAN("NON HWY")</f>
        <v>NON HWY</v>
      </c>
      <c r="K369" t="str">
        <f t="shared" si="143"/>
        <v xml:space="preserve">MILWAUKEE                     </v>
      </c>
      <c r="L369" t="str">
        <f>CLEAN("EV FLEET CONVERSION                ")</f>
        <v xml:space="preserve">EV FLEET CONVERSION                </v>
      </c>
      <c r="M369" t="str">
        <f>CLEAN("PURCHASE 60 EVS &amp; 42 CHARGING STATN")</f>
        <v>PURCHASE 60 EVS &amp; 42 CHARGING STATN</v>
      </c>
      <c r="N369">
        <v>0</v>
      </c>
      <c r="O369" t="str">
        <f t="shared" si="146"/>
        <v xml:space="preserve">          </v>
      </c>
      <c r="P369" t="str">
        <f t="shared" si="147"/>
        <v xml:space="preserve">CONGESTION MITIGATION AND AIR QUALITY (CMAQ)                                                        </v>
      </c>
    </row>
    <row r="370" spans="1:16" x14ac:dyDescent="0.25">
      <c r="A370" t="str">
        <f t="shared" si="140"/>
        <v>10</v>
      </c>
      <c r="B370" t="str">
        <f t="shared" si="141"/>
        <v>22</v>
      </c>
      <c r="C370" s="1">
        <v>46078</v>
      </c>
      <c r="D370" t="str">
        <f>CLEAN("2984-25-75")</f>
        <v>2984-25-75</v>
      </c>
      <c r="E370" t="str">
        <f t="shared" si="144"/>
        <v xml:space="preserve">211  </v>
      </c>
      <c r="F370" t="str">
        <f>CLEAN("$100,000-$249,999        ")</f>
        <v xml:space="preserve">$100,000-$249,999        </v>
      </c>
      <c r="G370" t="str">
        <f>CLEAN("LLC")</f>
        <v>LLC</v>
      </c>
      <c r="H370" t="str">
        <f t="shared" si="145"/>
        <v>NONLET CONSTR/REAL ESTATE</v>
      </c>
      <c r="I370" t="str">
        <f>CLEAN("MISC/ADAPTIVE TRAFFIC SIGNAL SYS   ")</f>
        <v xml:space="preserve">MISC/ADAPTIVE TRAFFIC SIGNAL SYS   </v>
      </c>
      <c r="J370" t="str">
        <f>CLEAN("LOC STR")</f>
        <v>LOC STR</v>
      </c>
      <c r="K370" t="str">
        <f t="shared" si="143"/>
        <v xml:space="preserve">MILWAUKEE                     </v>
      </c>
      <c r="L370" t="str">
        <f>CLEAN("C MILWAUKEE, LINCOLN MEMORIAL DR   ")</f>
        <v xml:space="preserve">C MILWAUKEE, LINCOLN MEMORIAL DR   </v>
      </c>
      <c r="M370" t="str">
        <f>CLEAN("JUNEAU PARK RD TO E WATER TOWER RD ")</f>
        <v xml:space="preserve">JUNEAU PARK RD TO E WATER TOWER RD </v>
      </c>
      <c r="N370">
        <v>2.3E-2</v>
      </c>
      <c r="O370" t="str">
        <f t="shared" si="146"/>
        <v xml:space="preserve">          </v>
      </c>
      <c r="P370" t="str">
        <f t="shared" si="147"/>
        <v xml:space="preserve">CONGESTION MITIGATION AND AIR QUALITY (CMAQ)                                                        </v>
      </c>
    </row>
    <row r="371" spans="1:16" x14ac:dyDescent="0.25">
      <c r="A371" t="str">
        <f t="shared" si="140"/>
        <v>10</v>
      </c>
      <c r="B371" t="str">
        <f t="shared" si="141"/>
        <v>22</v>
      </c>
      <c r="C371" s="1">
        <v>46016</v>
      </c>
      <c r="D371" t="str">
        <f>CLEAN("2984-25-85")</f>
        <v>2984-25-85</v>
      </c>
      <c r="E371" t="str">
        <f t="shared" si="144"/>
        <v xml:space="preserve">211  </v>
      </c>
      <c r="F371" t="str">
        <f>CLEAN("$100,000-$249,999        ")</f>
        <v xml:space="preserve">$100,000-$249,999        </v>
      </c>
      <c r="G371" t="str">
        <f>CLEAN("MIS")</f>
        <v>MIS</v>
      </c>
      <c r="H371" t="str">
        <f t="shared" si="145"/>
        <v>NONLET CONSTR/REAL ESTATE</v>
      </c>
      <c r="I371" t="str">
        <f>CLEAN("MIS/PROCUREMENT                    ")</f>
        <v xml:space="preserve">MIS/PROCUREMENT                    </v>
      </c>
      <c r="J371" t="str">
        <f>CLEAN("LOC STR")</f>
        <v>LOC STR</v>
      </c>
      <c r="K371" t="str">
        <f t="shared" si="143"/>
        <v xml:space="preserve">MILWAUKEE                     </v>
      </c>
      <c r="L371" t="str">
        <f>CLEAN("C MILWAUKEE, LINCOLN MEMORIAL DR   ")</f>
        <v xml:space="preserve">C MILWAUKEE, LINCOLN MEMORIAL DR   </v>
      </c>
      <c r="M371" t="str">
        <f>CLEAN("JUNEAU PARK RD TO E WATER TOWER RD ")</f>
        <v xml:space="preserve">JUNEAU PARK RD TO E WATER TOWER RD </v>
      </c>
      <c r="N371">
        <v>2.3E-2</v>
      </c>
      <c r="O371" t="str">
        <f t="shared" si="146"/>
        <v xml:space="preserve">          </v>
      </c>
      <c r="P371" t="str">
        <f t="shared" si="147"/>
        <v xml:space="preserve">CONGESTION MITIGATION AND AIR QUALITY (CMAQ)                                                        </v>
      </c>
    </row>
    <row r="372" spans="1:16" x14ac:dyDescent="0.25">
      <c r="A372" t="str">
        <f t="shared" si="140"/>
        <v>10</v>
      </c>
      <c r="B372" t="str">
        <f t="shared" si="141"/>
        <v>22</v>
      </c>
      <c r="C372" s="1">
        <v>46167</v>
      </c>
      <c r="D372" t="str">
        <f>CLEAN("2984-29-94")</f>
        <v>2984-29-94</v>
      </c>
      <c r="E372" t="str">
        <f t="shared" si="144"/>
        <v xml:space="preserve">211  </v>
      </c>
      <c r="F372" t="str">
        <f>CLEAN("$1,000,000 - $1,999,999  ")</f>
        <v xml:space="preserve">$1,000,000 - $1,999,999  </v>
      </c>
      <c r="G372" t="str">
        <f>CLEAN("LLC")</f>
        <v>LLC</v>
      </c>
      <c r="H372" t="str">
        <f t="shared" si="145"/>
        <v>NONLET CONSTR/REAL ESTATE</v>
      </c>
      <c r="I372" t="str">
        <f>CLEAN("CONST/MISC                         ")</f>
        <v xml:space="preserve">CONST/MISC                         </v>
      </c>
      <c r="J372" t="str">
        <f>CLEAN("VAR HWY")</f>
        <v>VAR HWY</v>
      </c>
      <c r="K372" t="str">
        <f t="shared" si="143"/>
        <v xml:space="preserve">MILWAUKEE                     </v>
      </c>
      <c r="L372" t="str">
        <f>CLEAN("NON-INTRUSIVE DETECTION GRANT 4    ")</f>
        <v xml:space="preserve">NON-INTRUSIVE DETECTION GRANT 4    </v>
      </c>
      <c r="M372" t="str">
        <f>CLEAN("15 INTERSECTIONS, NORTH SIDE       ")</f>
        <v xml:space="preserve">15 INTERSECTIONS, NORTH SIDE       </v>
      </c>
      <c r="N372">
        <v>0</v>
      </c>
      <c r="O372" t="str">
        <f t="shared" si="146"/>
        <v xml:space="preserve">          </v>
      </c>
      <c r="P372" t="str">
        <f t="shared" si="147"/>
        <v xml:space="preserve">CONGESTION MITIGATION AND AIR QUALITY (CMAQ)                                                        </v>
      </c>
    </row>
    <row r="373" spans="1:16" x14ac:dyDescent="0.25">
      <c r="A373" t="str">
        <f t="shared" si="140"/>
        <v>10</v>
      </c>
      <c r="B373" t="str">
        <f t="shared" si="141"/>
        <v>22</v>
      </c>
      <c r="C373" s="1">
        <v>45894</v>
      </c>
      <c r="D373" t="str">
        <f>CLEAN("2984-30-71")</f>
        <v>2984-30-71</v>
      </c>
      <c r="E373" t="str">
        <f>CLEAN("290  ")</f>
        <v xml:space="preserve">290  </v>
      </c>
      <c r="F373" t="str">
        <f>CLEAN("$1,000,000 - $1,999,999  ")</f>
        <v xml:space="preserve">$1,000,000 - $1,999,999  </v>
      </c>
      <c r="G373" t="str">
        <f>CLEAN("LLC")</f>
        <v>LLC</v>
      </c>
      <c r="H373" t="str">
        <f t="shared" si="145"/>
        <v>NONLET CONSTR/REAL ESTATE</v>
      </c>
      <c r="I373" t="str">
        <f>CLEAN("CONST/RECST                        ")</f>
        <v xml:space="preserve">CONST/RECST                        </v>
      </c>
      <c r="J373" t="str">
        <f>CLEAN("LOC STR")</f>
        <v>LOC STR</v>
      </c>
      <c r="K373" t="str">
        <f t="shared" si="143"/>
        <v xml:space="preserve">MILWAUKEE                     </v>
      </c>
      <c r="L373" t="str">
        <f>CLEAN("C MILWAUKEE, W HOPKINS BIKE LANE   ")</f>
        <v xml:space="preserve">C MILWAUKEE, W HOPKINS BIKE LANE   </v>
      </c>
      <c r="M373" t="str">
        <f>CLEAN("34TH ST TO N TEUTONIA AVE          ")</f>
        <v xml:space="preserve">34TH ST TO N TEUTONIA AVE          </v>
      </c>
      <c r="N373">
        <v>2.625</v>
      </c>
      <c r="O373" t="str">
        <f t="shared" si="146"/>
        <v xml:space="preserve">          </v>
      </c>
      <c r="P373" t="str">
        <f>CLEAN("TAP &gt; 200,000                                                                                       ")</f>
        <v xml:space="preserve">TAP &gt; 200,000                                                                                       </v>
      </c>
    </row>
    <row r="374" spans="1:16" x14ac:dyDescent="0.25">
      <c r="A374" t="str">
        <f t="shared" si="140"/>
        <v>10</v>
      </c>
      <c r="B374" t="str">
        <f t="shared" si="141"/>
        <v>22</v>
      </c>
      <c r="C374" s="1">
        <v>45894</v>
      </c>
      <c r="D374" t="str">
        <f>CLEAN("2984-31-71")</f>
        <v>2984-31-71</v>
      </c>
      <c r="E374" t="str">
        <f>CLEAN("290  ")</f>
        <v xml:space="preserve">290  </v>
      </c>
      <c r="F374" t="str">
        <f>CLEAN("$1,000,000 - $1,999,999  ")</f>
        <v xml:space="preserve">$1,000,000 - $1,999,999  </v>
      </c>
      <c r="G374" t="str">
        <f>CLEAN("LLC")</f>
        <v>LLC</v>
      </c>
      <c r="H374" t="str">
        <f t="shared" si="145"/>
        <v>NONLET CONSTR/REAL ESTATE</v>
      </c>
      <c r="I374" t="str">
        <f>CLEAN("CONST/PROTECTED BIKE LANE          ")</f>
        <v xml:space="preserve">CONST/PROTECTED BIKE LANE          </v>
      </c>
      <c r="J374" t="str">
        <f>CLEAN("LOC STR")</f>
        <v>LOC STR</v>
      </c>
      <c r="K374" t="str">
        <f t="shared" si="143"/>
        <v xml:space="preserve">MILWAUKEE                     </v>
      </c>
      <c r="L374" t="str">
        <f>CLEAN("C MILWAUKEE, W WALNUT BIKE LANE    ")</f>
        <v xml:space="preserve">C MILWAUKEE, W WALNUT BIKE LANE    </v>
      </c>
      <c r="M374" t="str">
        <f>CLEAN("N 20TH ST TO N 40TH ST             ")</f>
        <v xml:space="preserve">N 20TH ST TO N 40TH ST             </v>
      </c>
      <c r="N374">
        <v>1.33</v>
      </c>
      <c r="O374" t="str">
        <f t="shared" si="146"/>
        <v xml:space="preserve">          </v>
      </c>
      <c r="P374" t="str">
        <f>CLEAN("TAP &gt; 200,000                                                                                       ")</f>
        <v xml:space="preserve">TAP &gt; 200,000                                                                                       </v>
      </c>
    </row>
    <row r="375" spans="1:16" x14ac:dyDescent="0.25">
      <c r="A375" t="str">
        <f t="shared" si="140"/>
        <v>10</v>
      </c>
      <c r="B375" t="str">
        <f t="shared" si="141"/>
        <v>22</v>
      </c>
      <c r="C375" s="1">
        <v>45894</v>
      </c>
      <c r="D375" t="str">
        <f>CLEAN("2984-33-71")</f>
        <v>2984-33-71</v>
      </c>
      <c r="E375" t="str">
        <f>CLEAN("290  ")</f>
        <v xml:space="preserve">290  </v>
      </c>
      <c r="F375" t="str">
        <f>CLEAN("$750,000 - $999,999      ")</f>
        <v xml:space="preserve">$750,000 - $999,999      </v>
      </c>
      <c r="G375" t="str">
        <f>CLEAN("LLC")</f>
        <v>LLC</v>
      </c>
      <c r="H375" t="str">
        <f t="shared" si="145"/>
        <v>NONLET CONSTR/REAL ESTATE</v>
      </c>
      <c r="I375" t="str">
        <f>CLEAN("CONST/RECST                        ")</f>
        <v xml:space="preserve">CONST/RECST                        </v>
      </c>
      <c r="J375" t="str">
        <f>CLEAN("LOC STR")</f>
        <v>LOC STR</v>
      </c>
      <c r="K375" t="str">
        <f t="shared" si="143"/>
        <v xml:space="preserve">MILWAUKEE                     </v>
      </c>
      <c r="L375" t="str">
        <f>CLEAN("C MILWAUKEE, OKLAHOMA/6TH BIKE LANE")</f>
        <v>C MILWAUKEE, OKLAHOMA/6TH BIKE LANE</v>
      </c>
      <c r="M375" t="str">
        <f>CLEAN("6TH-HOWELL &amp; MANITOBA-OKLAHOMA     ")</f>
        <v xml:space="preserve">6TH-HOWELL &amp; MANITOBA-OKLAHOMA     </v>
      </c>
      <c r="N375">
        <v>0.97699999999999998</v>
      </c>
      <c r="O375" t="str">
        <f t="shared" si="146"/>
        <v xml:space="preserve">          </v>
      </c>
      <c r="P375" t="str">
        <f>CLEAN("TAP &gt; 200,000                                                                                       ")</f>
        <v xml:space="preserve">TAP &gt; 200,000                                                                                       </v>
      </c>
    </row>
    <row r="376" spans="1:16" x14ac:dyDescent="0.25">
      <c r="A376" t="str">
        <f t="shared" si="140"/>
        <v>10</v>
      </c>
      <c r="B376" t="str">
        <f t="shared" si="141"/>
        <v>22</v>
      </c>
      <c r="C376" s="1">
        <v>45909</v>
      </c>
      <c r="D376" t="str">
        <f>CLEAN("2987-07-71")</f>
        <v>2987-07-71</v>
      </c>
      <c r="E376" t="str">
        <f>CLEAN("205  ")</f>
        <v xml:space="preserve">205  </v>
      </c>
      <c r="F376" t="str">
        <f>CLEAN("$500,000 - $749,999      ")</f>
        <v xml:space="preserve">$500,000 - $749,999      </v>
      </c>
      <c r="G376" t="str">
        <f>CLEAN("LET")</f>
        <v>LET</v>
      </c>
      <c r="H376" t="str">
        <f>CLEAN("LET CONSTRUCTION         ")</f>
        <v xml:space="preserve">LET CONSTRUCTION         </v>
      </c>
      <c r="I376" t="str">
        <f>CLEAN("CONST/BRRHB                        ")</f>
        <v xml:space="preserve">CONST/BRRHB                        </v>
      </c>
      <c r="J376" t="str">
        <f>CLEAN("LOC STR")</f>
        <v>LOC STR</v>
      </c>
      <c r="K376" t="str">
        <f t="shared" si="143"/>
        <v xml:space="preserve">MILWAUKEE                     </v>
      </c>
      <c r="L376" t="str">
        <f>CLEAN("C OAK CREEK, 6TH ST                ")</f>
        <v xml:space="preserve">C OAK CREEK, 6TH ST                </v>
      </c>
      <c r="M376" t="str">
        <f>CLEAN("OAK CREEK BRIDGE P40-0556          ")</f>
        <v xml:space="preserve">OAK CREEK BRIDGE P40-0556          </v>
      </c>
      <c r="N376">
        <v>4.1000000000000002E-2</v>
      </c>
      <c r="O376" t="str">
        <f t="shared" si="146"/>
        <v xml:space="preserve">          </v>
      </c>
      <c r="P376" t="str">
        <f>CLEAN("LOCAL BRIDGES                                                                                       ")</f>
        <v xml:space="preserve">LOCAL BRIDGES                                                                                       </v>
      </c>
    </row>
    <row r="377" spans="1:16" x14ac:dyDescent="0.25">
      <c r="A377" t="str">
        <f t="shared" si="140"/>
        <v>10</v>
      </c>
      <c r="B377" t="str">
        <f t="shared" si="141"/>
        <v>22</v>
      </c>
      <c r="C377" s="1">
        <v>45894</v>
      </c>
      <c r="D377" t="str">
        <f>CLEAN("2995-27-20")</f>
        <v>2995-27-20</v>
      </c>
      <c r="E377" t="str">
        <f>CLEAN("301EW")</f>
        <v>301EW</v>
      </c>
      <c r="F377" t="str">
        <f>CLEAN("$4,000,000 - $4,999,999  ")</f>
        <v xml:space="preserve">$4,000,000 - $4,999,999  </v>
      </c>
      <c r="G377" t="str">
        <f>CLEAN("R/E")</f>
        <v>R/E</v>
      </c>
      <c r="H377" t="str">
        <f>CLEAN("NONLET CONSTR/REAL ESTATE")</f>
        <v>NONLET CONSTR/REAL ESTATE</v>
      </c>
      <c r="I377" t="str">
        <f>CLEAN("RE/EARLY ACQUISITIONS              ")</f>
        <v xml:space="preserve">RE/EARLY ACQUISITIONS              </v>
      </c>
      <c r="J377" t="str">
        <f>CLEAN("LOC STR")</f>
        <v>LOC STR</v>
      </c>
      <c r="K377" t="str">
        <f t="shared" si="143"/>
        <v xml:space="preserve">MILWAUKEE                     </v>
      </c>
      <c r="L377" t="str">
        <f>CLEAN("I-94 EAST WEST, W ALLIS-CHALMERS DR")</f>
        <v>I-94 EAST WEST, W ALLIS-CHALMERS DR</v>
      </c>
      <c r="M377" t="str">
        <f>CLEAN("1200-FT E OF 70TH ST TO 60TH ST    ")</f>
        <v xml:space="preserve">1200-FT E OF 70TH ST TO 60TH ST    </v>
      </c>
      <c r="N377">
        <v>4.8000000000000001E-2</v>
      </c>
      <c r="O377" t="str">
        <f t="shared" si="146"/>
        <v xml:space="preserve">          </v>
      </c>
      <c r="P377" t="str">
        <f>CLEAN("SE FREEWAY - EAST WEST                                                                              ")</f>
        <v xml:space="preserve">SE FREEWAY - EAST WEST                                                                              </v>
      </c>
    </row>
    <row r="378" spans="1:16" x14ac:dyDescent="0.25">
      <c r="A378" t="str">
        <f t="shared" si="140"/>
        <v>10</v>
      </c>
      <c r="B378" t="str">
        <f t="shared" ref="B378:B389" si="148">CLEAN("21")</f>
        <v>21</v>
      </c>
      <c r="C378" s="1">
        <v>46035</v>
      </c>
      <c r="D378" t="str">
        <f>CLEAN("3030-02-66")</f>
        <v>3030-02-66</v>
      </c>
      <c r="E378" t="str">
        <f t="shared" ref="E378:E394" si="149">CLEAN("303  ")</f>
        <v xml:space="preserve">303  </v>
      </c>
      <c r="F378" t="str">
        <f>CLEAN("$3,000,000 - $3,999,999  ")</f>
        <v xml:space="preserve">$3,000,000 - $3,999,999  </v>
      </c>
      <c r="G378" t="str">
        <f>CLEAN("LET")</f>
        <v>LET</v>
      </c>
      <c r="H378" t="str">
        <f>CLEAN("LET CONSTRUCTION         ")</f>
        <v xml:space="preserve">LET CONSTRUCTION         </v>
      </c>
      <c r="I378" t="str">
        <f>CLEAN("CONST/ MILL AND OVERLAY            ")</f>
        <v xml:space="preserve">CONST/ MILL AND OVERLAY            </v>
      </c>
      <c r="J378" t="str">
        <f>CLEAN("STH 067")</f>
        <v>STH 067</v>
      </c>
      <c r="K378" t="str">
        <f>CLEAN("DODGE                         ")</f>
        <v xml:space="preserve">DODGE                         </v>
      </c>
      <c r="L378" t="str">
        <f>CLEAN("OCONOMOWOC - MAYVILLE              ")</f>
        <v xml:space="preserve">OCONOMOWOC - MAYVILLE              </v>
      </c>
      <c r="M378" t="str">
        <f>CLEAN("STH 60 TO W JCT CTH S              ")</f>
        <v xml:space="preserve">STH 60 TO W JCT CTH S              </v>
      </c>
      <c r="N378">
        <v>7.0830000000000002</v>
      </c>
      <c r="O378" t="str">
        <f t="shared" si="146"/>
        <v xml:space="preserve">          </v>
      </c>
      <c r="P378" t="str">
        <f>CLEAN("SAFETY (REGULAR HSIP)                                                                               ")</f>
        <v xml:space="preserve">SAFETY (REGULAR HSIP)                                                                               </v>
      </c>
    </row>
    <row r="379" spans="1:16" x14ac:dyDescent="0.25">
      <c r="A379" t="str">
        <f t="shared" si="140"/>
        <v>10</v>
      </c>
      <c r="B379" t="str">
        <f t="shared" si="148"/>
        <v>21</v>
      </c>
      <c r="C379" s="1">
        <v>46035</v>
      </c>
      <c r="D379" t="str">
        <f>CLEAN("3030-02-66")</f>
        <v>3030-02-66</v>
      </c>
      <c r="E379" t="str">
        <f t="shared" si="149"/>
        <v xml:space="preserve">303  </v>
      </c>
      <c r="F379" t="str">
        <f>CLEAN("$3,000,000 - $3,999,999  ")</f>
        <v xml:space="preserve">$3,000,000 - $3,999,999  </v>
      </c>
      <c r="G379" t="str">
        <f>CLEAN("LET")</f>
        <v>LET</v>
      </c>
      <c r="H379" t="str">
        <f>CLEAN("LET CONSTRUCTION         ")</f>
        <v xml:space="preserve">LET CONSTRUCTION         </v>
      </c>
      <c r="I379" t="str">
        <f>CLEAN("CONST/ MILL AND OVERLAY            ")</f>
        <v xml:space="preserve">CONST/ MILL AND OVERLAY            </v>
      </c>
      <c r="J379" t="str">
        <f>CLEAN("STH 067")</f>
        <v>STH 067</v>
      </c>
      <c r="K379" t="str">
        <f>CLEAN("DODGE                         ")</f>
        <v xml:space="preserve">DODGE                         </v>
      </c>
      <c r="L379" t="str">
        <f>CLEAN("OCONOMOWOC - MAYVILLE              ")</f>
        <v xml:space="preserve">OCONOMOWOC - MAYVILLE              </v>
      </c>
      <c r="M379" t="str">
        <f>CLEAN("STH 60 TO W JCT CTH S              ")</f>
        <v xml:space="preserve">STH 60 TO W JCT CTH S              </v>
      </c>
      <c r="N379">
        <v>7.0830000000000002</v>
      </c>
      <c r="O379" t="str">
        <f t="shared" si="146"/>
        <v xml:space="preserve">          </v>
      </c>
      <c r="P379" t="str">
        <f t="shared" ref="P379:P387" si="150"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380" spans="1:16" x14ac:dyDescent="0.25">
      <c r="A380" t="str">
        <f t="shared" si="140"/>
        <v>10</v>
      </c>
      <c r="B380" t="str">
        <f t="shared" si="148"/>
        <v>21</v>
      </c>
      <c r="C380" s="1">
        <v>45925</v>
      </c>
      <c r="D380" t="str">
        <f>CLEAN("3030-05-54")</f>
        <v>3030-05-54</v>
      </c>
      <c r="E380" t="str">
        <f t="shared" si="149"/>
        <v xml:space="preserve">303  </v>
      </c>
      <c r="F380" t="str">
        <f>CLEAN("$250,000 - $499,999      ")</f>
        <v xml:space="preserve">$250,000 - $499,999      </v>
      </c>
      <c r="G380" t="str">
        <f>CLEAN("R/R")</f>
        <v>R/R</v>
      </c>
      <c r="H380" t="str">
        <f>CLEAN("NONLET CONSTR/REAL ESTATE")</f>
        <v>NONLET CONSTR/REAL ESTATE</v>
      </c>
      <c r="I380" t="str">
        <f>CLEAN("RR OPS/ SIGNALS                    ")</f>
        <v xml:space="preserve">RR OPS/ SIGNALS                    </v>
      </c>
      <c r="J380" t="str">
        <f>CLEAN("STH 067")</f>
        <v>STH 067</v>
      </c>
      <c r="K380" t="str">
        <f>CLEAN("DODGE                         ")</f>
        <v xml:space="preserve">DODGE                         </v>
      </c>
      <c r="L380" t="str">
        <f>CLEAN("OCONOMOWOC - MAYVILLE              ")</f>
        <v xml:space="preserve">OCONOMOWOC - MAYVILLE              </v>
      </c>
      <c r="M380" t="str">
        <f>CLEAN("UNION PACIFIC RR XING 179079Y      ")</f>
        <v xml:space="preserve">UNION PACIFIC RR XING 179079Y      </v>
      </c>
      <c r="N380">
        <v>0</v>
      </c>
      <c r="O380" t="str">
        <f t="shared" si="146"/>
        <v xml:space="preserve">          </v>
      </c>
      <c r="P380" t="str">
        <f t="shared" si="150"/>
        <v xml:space="preserve">STATE 3R                                                                                            </v>
      </c>
    </row>
    <row r="381" spans="1:16" x14ac:dyDescent="0.25">
      <c r="A381" t="str">
        <f t="shared" ref="A381:A412" si="151">CLEAN("10")</f>
        <v>10</v>
      </c>
      <c r="B381" t="str">
        <f t="shared" si="148"/>
        <v>21</v>
      </c>
      <c r="C381" s="1">
        <v>46035</v>
      </c>
      <c r="D381" t="str">
        <f>CLEAN("3030-05-74")</f>
        <v>3030-05-74</v>
      </c>
      <c r="E381" t="str">
        <f t="shared" si="149"/>
        <v xml:space="preserve">303  </v>
      </c>
      <c r="F381" t="str">
        <f>CLEAN("$2,000,000 - $2,999,999  ")</f>
        <v xml:space="preserve">$2,000,000 - $2,999,999  </v>
      </c>
      <c r="G381" t="str">
        <f>CLEAN("LET")</f>
        <v>LET</v>
      </c>
      <c r="H381" t="str">
        <f>CLEAN("LET CONSTRUCTION         ")</f>
        <v xml:space="preserve">LET CONSTRUCTION         </v>
      </c>
      <c r="I381" t="str">
        <f>CLEAN("CONST/ MILL AND OVERLAY            ")</f>
        <v xml:space="preserve">CONST/ MILL AND OVERLAY            </v>
      </c>
      <c r="J381" t="str">
        <f>CLEAN("STH 067")</f>
        <v>STH 067</v>
      </c>
      <c r="K381" t="str">
        <f>CLEAN("DODGE                         ")</f>
        <v xml:space="preserve">DODGE                         </v>
      </c>
      <c r="L381" t="str">
        <f>CLEAN("OCONOMOWOC - MAYVILLE              ")</f>
        <v xml:space="preserve">OCONOMOWOC - MAYVILLE              </v>
      </c>
      <c r="M381" t="str">
        <f>CLEAN("WAUKESHA CO LINE TO CTH MM         ")</f>
        <v xml:space="preserve">WAUKESHA CO LINE TO CTH MM         </v>
      </c>
      <c r="N381">
        <v>5.13</v>
      </c>
      <c r="O381" t="str">
        <f t="shared" si="146"/>
        <v xml:space="preserve">          </v>
      </c>
      <c r="P381" t="str">
        <f t="shared" si="150"/>
        <v xml:space="preserve">STATE 3R                                                                                            </v>
      </c>
    </row>
    <row r="382" spans="1:16" x14ac:dyDescent="0.25">
      <c r="A382" t="str">
        <f t="shared" si="151"/>
        <v>10</v>
      </c>
      <c r="B382" t="str">
        <f t="shared" si="148"/>
        <v>21</v>
      </c>
      <c r="C382" s="1">
        <v>46047</v>
      </c>
      <c r="D382" t="str">
        <f>CLEAN("3050-01-28")</f>
        <v>3050-01-28</v>
      </c>
      <c r="E382" t="str">
        <f t="shared" si="149"/>
        <v xml:space="preserve">303  </v>
      </c>
      <c r="F382" t="str">
        <f>CLEAN("$0 - $99,999             ")</f>
        <v xml:space="preserve">$0 - $99,999             </v>
      </c>
      <c r="G382" t="str">
        <f>CLEAN("R/E")</f>
        <v>R/E</v>
      </c>
      <c r="H382" t="str">
        <f>CLEAN("NONLET CONSTR/REAL ESTATE")</f>
        <v>NONLET CONSTR/REAL ESTATE</v>
      </c>
      <c r="I382" t="str">
        <f>CLEAN("RE/ PVRPLA                         ")</f>
        <v xml:space="preserve">RE/ PVRPLA                         </v>
      </c>
      <c r="J382" t="str">
        <f>CLEAN("STH 019")</f>
        <v>STH 019</v>
      </c>
      <c r="K382" t="str">
        <f>CLEAN("JEFFERSON                     ")</f>
        <v xml:space="preserve">JEFFERSON                     </v>
      </c>
      <c r="L382" t="str">
        <f>CLEAN("C WATERTOWN, MAIN STREET           ")</f>
        <v xml:space="preserve">C WATERTOWN, MAIN STREET           </v>
      </c>
      <c r="M382" t="str">
        <f>CLEAN("CHURCH STREET TO MARKET STREET     ")</f>
        <v xml:space="preserve">CHURCH STREET TO MARKET STREET     </v>
      </c>
      <c r="N382">
        <v>0.67800000000000005</v>
      </c>
      <c r="O382" t="str">
        <f t="shared" si="146"/>
        <v xml:space="preserve">          </v>
      </c>
      <c r="P382" t="str">
        <f t="shared" si="150"/>
        <v xml:space="preserve">STATE 3R                                                                                            </v>
      </c>
    </row>
    <row r="383" spans="1:16" x14ac:dyDescent="0.25">
      <c r="A383" t="str">
        <f t="shared" si="151"/>
        <v>10</v>
      </c>
      <c r="B383" t="str">
        <f t="shared" si="148"/>
        <v>21</v>
      </c>
      <c r="C383" s="1">
        <v>46126</v>
      </c>
      <c r="D383" t="str">
        <f>CLEAN("3050-01-77")</f>
        <v>3050-01-77</v>
      </c>
      <c r="E383" t="str">
        <f t="shared" si="149"/>
        <v xml:space="preserve">303  </v>
      </c>
      <c r="F383" t="str">
        <f>CLEAN("$2,000,000 - $2,999,999  ")</f>
        <v xml:space="preserve">$2,000,000 - $2,999,999  </v>
      </c>
      <c r="G383" t="str">
        <f>CLEAN("LET")</f>
        <v>LET</v>
      </c>
      <c r="H383" t="str">
        <f>CLEAN("LET CONSTRUCTION         ")</f>
        <v xml:space="preserve">LET CONSTRUCTION         </v>
      </c>
      <c r="I383" t="str">
        <f>CLEAN("CONST/ MILL AND OVERLAY            ")</f>
        <v xml:space="preserve">CONST/ MILL AND OVERLAY            </v>
      </c>
      <c r="J383" t="str">
        <f>CLEAN("STH 019")</f>
        <v>STH 019</v>
      </c>
      <c r="K383" t="str">
        <f>CLEAN("JEFFERSON                     ")</f>
        <v xml:space="preserve">JEFFERSON                     </v>
      </c>
      <c r="L383" t="str">
        <f>CLEAN("SUN PRAIRIE - WATERTOWN            ")</f>
        <v xml:space="preserve">SUN PRAIRIE - WATERTOWN            </v>
      </c>
      <c r="M383" t="str">
        <f>CLEAN("CRAWFISH RIVER BRIDGE TO GYPSY ROAD")</f>
        <v>CRAWFISH RIVER BRIDGE TO GYPSY ROAD</v>
      </c>
      <c r="N383">
        <v>5.4029999999999996</v>
      </c>
      <c r="O383" t="str">
        <f t="shared" si="146"/>
        <v xml:space="preserve">          </v>
      </c>
      <c r="P383" t="str">
        <f t="shared" si="150"/>
        <v xml:space="preserve">STATE 3R                                                                                            </v>
      </c>
    </row>
    <row r="384" spans="1:16" x14ac:dyDescent="0.25">
      <c r="A384" t="str">
        <f t="shared" si="151"/>
        <v>10</v>
      </c>
      <c r="B384" t="str">
        <f t="shared" si="148"/>
        <v>21</v>
      </c>
      <c r="C384" s="1">
        <v>46259</v>
      </c>
      <c r="D384" t="str">
        <f>CLEAN("3050-04-20")</f>
        <v>3050-04-20</v>
      </c>
      <c r="E384" t="str">
        <f t="shared" si="149"/>
        <v xml:space="preserve">303  </v>
      </c>
      <c r="F384" t="str">
        <f>CLEAN("$100,000-$249,999        ")</f>
        <v xml:space="preserve">$100,000-$249,999        </v>
      </c>
      <c r="G384" t="str">
        <f>CLEAN("R/E")</f>
        <v>R/E</v>
      </c>
      <c r="H384" t="str">
        <f>CLEAN("NONLET CONSTR/REAL ESTATE")</f>
        <v>NONLET CONSTR/REAL ESTATE</v>
      </c>
      <c r="I384" t="str">
        <f>CLEAN("DESIGN-RIGHT OF WAY-RECST          ")</f>
        <v xml:space="preserve">DESIGN-RIGHT OF WAY-RECST          </v>
      </c>
      <c r="J384" t="str">
        <f>CLEAN("STH 019")</f>
        <v>STH 019</v>
      </c>
      <c r="K384" t="str">
        <f>CLEAN("JEFFERSON                     ")</f>
        <v xml:space="preserve">JEFFERSON                     </v>
      </c>
      <c r="L384" t="str">
        <f>CLEAN("C WATERTOWN, MAIN STREET           ")</f>
        <v xml:space="preserve">C WATERTOWN, MAIN STREET           </v>
      </c>
      <c r="M384" t="str">
        <f>CLEAN("MARKET STREET TO IRENE STREET      ")</f>
        <v xml:space="preserve">MARKET STREET TO IRENE STREET      </v>
      </c>
      <c r="N384">
        <v>0.44500000000000001</v>
      </c>
      <c r="O384" t="str">
        <f t="shared" si="146"/>
        <v xml:space="preserve">          </v>
      </c>
      <c r="P384" t="str">
        <f t="shared" si="150"/>
        <v xml:space="preserve">STATE 3R                                                                                            </v>
      </c>
    </row>
    <row r="385" spans="1:16" x14ac:dyDescent="0.25">
      <c r="A385" t="str">
        <f t="shared" si="151"/>
        <v>10</v>
      </c>
      <c r="B385" t="str">
        <f t="shared" si="148"/>
        <v>21</v>
      </c>
      <c r="C385" s="1">
        <v>46137</v>
      </c>
      <c r="D385" t="str">
        <f>CLEAN("3050-06-20")</f>
        <v>3050-06-20</v>
      </c>
      <c r="E385" t="str">
        <f t="shared" si="149"/>
        <v xml:space="preserve">303  </v>
      </c>
      <c r="F385" t="str">
        <f>CLEAN("$0 - $99,999             ")</f>
        <v xml:space="preserve">$0 - $99,999             </v>
      </c>
      <c r="G385" t="str">
        <f>CLEAN("R/E")</f>
        <v>R/E</v>
      </c>
      <c r="H385" t="str">
        <f>CLEAN("NONLET CONSTR/REAL ESTATE")</f>
        <v>NONLET CONSTR/REAL ESTATE</v>
      </c>
      <c r="I385" t="str">
        <f>CLEAN("DESIGN-RIGHT OF WAY-PVRPLA         ")</f>
        <v xml:space="preserve">DESIGN-RIGHT OF WAY-PVRPLA         </v>
      </c>
      <c r="J385" t="str">
        <f>CLEAN("STH 019")</f>
        <v>STH 019</v>
      </c>
      <c r="K385" t="str">
        <f>CLEAN("JEFFERSON                     ")</f>
        <v xml:space="preserve">JEFFERSON                     </v>
      </c>
      <c r="L385" t="str">
        <f>CLEAN("SUN PRAIRIE - WATERTOWN            ")</f>
        <v xml:space="preserve">SUN PRAIRIE - WATERTOWN            </v>
      </c>
      <c r="M385" t="str">
        <f>CLEAN("STH 89 TO INDUSTRIAL LANE          ")</f>
        <v xml:space="preserve">STH 89 TO INDUSTRIAL LANE          </v>
      </c>
      <c r="N385">
        <v>0.42199999999999999</v>
      </c>
      <c r="O385" t="str">
        <f t="shared" si="146"/>
        <v xml:space="preserve">          </v>
      </c>
      <c r="P385" t="str">
        <f t="shared" si="150"/>
        <v xml:space="preserve">STATE 3R                                                                                            </v>
      </c>
    </row>
    <row r="386" spans="1:16" x14ac:dyDescent="0.25">
      <c r="A386" t="str">
        <f t="shared" si="151"/>
        <v>10</v>
      </c>
      <c r="B386" t="str">
        <f t="shared" si="148"/>
        <v>21</v>
      </c>
      <c r="C386" s="1">
        <v>46078</v>
      </c>
      <c r="D386" t="str">
        <f>CLEAN("3060-00-50")</f>
        <v>3060-00-50</v>
      </c>
      <c r="E386" t="str">
        <f t="shared" si="149"/>
        <v xml:space="preserve">303  </v>
      </c>
      <c r="F386" t="str">
        <f>CLEAN("$500,000 - $749,999      ")</f>
        <v xml:space="preserve">$500,000 - $749,999      </v>
      </c>
      <c r="G386" t="str">
        <f>CLEAN("R/R")</f>
        <v>R/R</v>
      </c>
      <c r="H386" t="str">
        <f>CLEAN("NONLET CONSTR/REAL ESTATE")</f>
        <v>NONLET CONSTR/REAL ESTATE</v>
      </c>
      <c r="I386" t="str">
        <f>CLEAN("R/R SIGNALS-SOO LINE/RSRF30        ")</f>
        <v xml:space="preserve">R/R SIGNALS-SOO LINE/RSRF30        </v>
      </c>
      <c r="J386" t="str">
        <f>CLEAN("STH 073")</f>
        <v>STH 073</v>
      </c>
      <c r="K386" t="str">
        <f>CLEAN("COLUMBIA                      ")</f>
        <v xml:space="preserve">COLUMBIA                      </v>
      </c>
      <c r="L386" t="str">
        <f>CLEAN("C COLUMBUS, LUDINGTON STREET       ")</f>
        <v xml:space="preserve">C COLUMBUS, LUDINGTON STREET       </v>
      </c>
      <c r="M386" t="str">
        <f>CLEAN("FAITH DRIVE TO MIDDLETON STREET    ")</f>
        <v xml:space="preserve">FAITH DRIVE TO MIDDLETON STREET    </v>
      </c>
      <c r="N386">
        <v>0</v>
      </c>
      <c r="O386" t="str">
        <f t="shared" si="146"/>
        <v xml:space="preserve">          </v>
      </c>
      <c r="P386" t="str">
        <f t="shared" si="150"/>
        <v xml:space="preserve">STATE 3R                                                                                            </v>
      </c>
    </row>
    <row r="387" spans="1:16" x14ac:dyDescent="0.25">
      <c r="A387" t="str">
        <f t="shared" si="151"/>
        <v>10</v>
      </c>
      <c r="B387" t="str">
        <f t="shared" si="148"/>
        <v>21</v>
      </c>
      <c r="C387" s="1">
        <v>45894</v>
      </c>
      <c r="D387" t="str">
        <f>CLEAN("3060-03-62")</f>
        <v>3060-03-62</v>
      </c>
      <c r="E387" t="str">
        <f t="shared" si="149"/>
        <v xml:space="preserve">303  </v>
      </c>
      <c r="F387" t="str">
        <f>CLEAN("$0 - $99,999             ")</f>
        <v xml:space="preserve">$0 - $99,999             </v>
      </c>
      <c r="G387" t="str">
        <f>CLEAN("LFA")</f>
        <v>LFA</v>
      </c>
      <c r="H387" t="str">
        <f>CLEAN("NONLET CONSTR/REAL ESTATE")</f>
        <v>NONLET CONSTR/REAL ESTATE</v>
      </c>
      <c r="I387" t="str">
        <f>CLEAN("LFA/ PSRS20                        ")</f>
        <v xml:space="preserve">LFA/ PSRS20                        </v>
      </c>
      <c r="J387" t="str">
        <f>CLEAN("STH 073")</f>
        <v>STH 073</v>
      </c>
      <c r="K387" t="str">
        <f>CLEAN("DANE                          ")</f>
        <v xml:space="preserve">DANE                          </v>
      </c>
      <c r="L387" t="str">
        <f>CLEAN("I39 - COLUMBUS                     ")</f>
        <v xml:space="preserve">I39 - COLUMBUS                     </v>
      </c>
      <c r="M387" t="str">
        <f>CLEAN("STH 19 TO 200' N OF CONVERSE AVE   ")</f>
        <v xml:space="preserve">STH 19 TO 200' N OF CONVERSE AVE   </v>
      </c>
      <c r="N387">
        <v>1.3680000000000001</v>
      </c>
      <c r="O387" t="str">
        <f t="shared" si="146"/>
        <v xml:space="preserve">          </v>
      </c>
      <c r="P387" t="str">
        <f t="shared" si="150"/>
        <v xml:space="preserve">STATE 3R                                                                                            </v>
      </c>
    </row>
    <row r="388" spans="1:16" x14ac:dyDescent="0.25">
      <c r="A388" t="str">
        <f t="shared" si="151"/>
        <v>10</v>
      </c>
      <c r="B388" t="str">
        <f t="shared" si="148"/>
        <v>21</v>
      </c>
      <c r="C388" s="1">
        <v>45972</v>
      </c>
      <c r="D388" t="str">
        <f>CLEAN("3080-01-78")</f>
        <v>3080-01-78</v>
      </c>
      <c r="E388" t="str">
        <f t="shared" si="149"/>
        <v xml:space="preserve">303  </v>
      </c>
      <c r="F388" t="str">
        <f>CLEAN("$2,000,000 - $2,999,999  ")</f>
        <v xml:space="preserve">$2,000,000 - $2,999,999  </v>
      </c>
      <c r="G388" t="str">
        <f>CLEAN("LET")</f>
        <v>LET</v>
      </c>
      <c r="H388" t="str">
        <f>CLEAN("LET CONSTRUCTION         ")</f>
        <v xml:space="preserve">LET CONSTRUCTION         </v>
      </c>
      <c r="I388" t="str">
        <f>CLEAN("CONST/INTERSECTN IMPROVEM/RAB/RECST")</f>
        <v>CONST/INTERSECTN IMPROVEM/RAB/RECST</v>
      </c>
      <c r="J388" t="str">
        <f>CLEAN("USH 012")</f>
        <v>USH 012</v>
      </c>
      <c r="K388" t="str">
        <f>CLEAN("DANE                          ")</f>
        <v xml:space="preserve">DANE                          </v>
      </c>
      <c r="L388" t="str">
        <f>CLEAN("MADISON - CAMBRIDGE                ")</f>
        <v xml:space="preserve">MADISON - CAMBRIDGE                </v>
      </c>
      <c r="M388" t="str">
        <f>CLEAN("CTH W/OAK PARK ROAD INTERSECTION   ")</f>
        <v xml:space="preserve">CTH W/OAK PARK ROAD INTERSECTION   </v>
      </c>
      <c r="N388">
        <v>0.33100000000000002</v>
      </c>
      <c r="O388" t="str">
        <f t="shared" si="146"/>
        <v xml:space="preserve">          </v>
      </c>
      <c r="P388" t="str">
        <f>CLEAN("SAFETY (REGULAR HSIP)                                                                               ")</f>
        <v xml:space="preserve">SAFETY (REGULAR HSIP)                                                                               </v>
      </c>
    </row>
    <row r="389" spans="1:16" x14ac:dyDescent="0.25">
      <c r="A389" t="str">
        <f t="shared" si="151"/>
        <v>10</v>
      </c>
      <c r="B389" t="str">
        <f t="shared" si="148"/>
        <v>21</v>
      </c>
      <c r="C389" s="1">
        <v>45972</v>
      </c>
      <c r="D389" t="str">
        <f>CLEAN("3080-01-78")</f>
        <v>3080-01-78</v>
      </c>
      <c r="E389" t="str">
        <f t="shared" si="149"/>
        <v xml:space="preserve">303  </v>
      </c>
      <c r="F389" t="str">
        <f>CLEAN("$2,000,000 - $2,999,999  ")</f>
        <v xml:space="preserve">$2,000,000 - $2,999,999  </v>
      </c>
      <c r="G389" t="str">
        <f>CLEAN("LET")</f>
        <v>LET</v>
      </c>
      <c r="H389" t="str">
        <f>CLEAN("LET CONSTRUCTION         ")</f>
        <v xml:space="preserve">LET CONSTRUCTION         </v>
      </c>
      <c r="I389" t="str">
        <f>CLEAN("CONST/INTERSECTN IMPROVEM/RAB/RECST")</f>
        <v>CONST/INTERSECTN IMPROVEM/RAB/RECST</v>
      </c>
      <c r="J389" t="str">
        <f>CLEAN("USH 012")</f>
        <v>USH 012</v>
      </c>
      <c r="K389" t="str">
        <f>CLEAN("DANE                          ")</f>
        <v xml:space="preserve">DANE                          </v>
      </c>
      <c r="L389" t="str">
        <f>CLEAN("MADISON - CAMBRIDGE                ")</f>
        <v xml:space="preserve">MADISON - CAMBRIDGE                </v>
      </c>
      <c r="M389" t="str">
        <f>CLEAN("CTH W/OAK PARK ROAD INTERSECTION   ")</f>
        <v xml:space="preserve">CTH W/OAK PARK ROAD INTERSECTION   </v>
      </c>
      <c r="N389">
        <v>0.33100000000000002</v>
      </c>
      <c r="O389" t="str">
        <f t="shared" si="146"/>
        <v xml:space="preserve">          </v>
      </c>
      <c r="P389" t="str">
        <f t="shared" ref="P389:P394" si="152"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390" spans="1:16" x14ac:dyDescent="0.25">
      <c r="A390" t="str">
        <f t="shared" si="151"/>
        <v>10</v>
      </c>
      <c r="B390" t="str">
        <f>CLEAN("22")</f>
        <v>22</v>
      </c>
      <c r="C390" s="1">
        <v>45909</v>
      </c>
      <c r="D390" t="str">
        <f>CLEAN("3100-00-75")</f>
        <v>3100-00-75</v>
      </c>
      <c r="E390" t="str">
        <f t="shared" si="149"/>
        <v xml:space="preserve">303  </v>
      </c>
      <c r="F390" t="str">
        <f>CLEAN("$3,000,000 - $3,999,999  ")</f>
        <v xml:space="preserve">$3,000,000 - $3,999,999  </v>
      </c>
      <c r="G390" t="str">
        <f>CLEAN("LET")</f>
        <v>LET</v>
      </c>
      <c r="H390" t="str">
        <f>CLEAN("LET CONSTRUCTION         ")</f>
        <v xml:space="preserve">LET CONSTRUCTION         </v>
      </c>
      <c r="I390" t="str">
        <f>CLEAN("CONST/PSRS40 RESURFACE             ")</f>
        <v xml:space="preserve">CONST/PSRS40 RESURFACE             </v>
      </c>
      <c r="J390" t="str">
        <f>CLEAN("STH 067")</f>
        <v>STH 067</v>
      </c>
      <c r="K390" t="str">
        <f>CLEAN("WAUKESHA                      ")</f>
        <v xml:space="preserve">WAUKESHA                      </v>
      </c>
      <c r="L390" t="str">
        <f>CLEAN("ELKHORN TO EAGLE                   ")</f>
        <v xml:space="preserve">ELKHORN TO EAGLE                   </v>
      </c>
      <c r="M390" t="str">
        <f>CLEAN("USH 12 TO STH 59                   ")</f>
        <v xml:space="preserve">USH 12 TO STH 59                   </v>
      </c>
      <c r="N390">
        <v>7.867</v>
      </c>
      <c r="O390" t="str">
        <f t="shared" si="146"/>
        <v xml:space="preserve">          </v>
      </c>
      <c r="P390" t="str">
        <f t="shared" si="152"/>
        <v xml:space="preserve">STATE 3R                                                                                            </v>
      </c>
    </row>
    <row r="391" spans="1:16" x14ac:dyDescent="0.25">
      <c r="A391" t="str">
        <f t="shared" si="151"/>
        <v>10</v>
      </c>
      <c r="B391" t="str">
        <f>CLEAN("22")</f>
        <v>22</v>
      </c>
      <c r="C391" s="1">
        <v>45881</v>
      </c>
      <c r="D391" t="str">
        <f>CLEAN("3110-03-73")</f>
        <v>3110-03-73</v>
      </c>
      <c r="E391" t="str">
        <f t="shared" si="149"/>
        <v xml:space="preserve">303  </v>
      </c>
      <c r="F391" t="str">
        <f>CLEAN("$2,000,000 - $2,999,999  ")</f>
        <v xml:space="preserve">$2,000,000 - $2,999,999  </v>
      </c>
      <c r="G391" t="str">
        <f>CLEAN("LET")</f>
        <v>LET</v>
      </c>
      <c r="H391" t="str">
        <f>CLEAN("LET CONSTRUCTION         ")</f>
        <v xml:space="preserve">LET CONSTRUCTION         </v>
      </c>
      <c r="I391" t="str">
        <f>CLEAN("CONST/RESURFACE                    ")</f>
        <v xml:space="preserve">CONST/RESURFACE                    </v>
      </c>
      <c r="J391" t="str">
        <f>CLEAN("STH 059")</f>
        <v>STH 059</v>
      </c>
      <c r="K391" t="str">
        <f>CLEAN("WALWORTH                      ")</f>
        <v xml:space="preserve">WALWORTH                      </v>
      </c>
      <c r="L391" t="str">
        <f>CLEAN("MILTON TO WHITEWATER               ")</f>
        <v xml:space="preserve">MILTON TO WHITEWATER               </v>
      </c>
      <c r="M391" t="str">
        <f>CLEAN("WCL TO WILLIS RAY ROAD             ")</f>
        <v xml:space="preserve">WCL TO WILLIS RAY ROAD             </v>
      </c>
      <c r="N391">
        <v>2.5499999999999998</v>
      </c>
      <c r="O391" t="str">
        <f t="shared" si="146"/>
        <v xml:space="preserve">          </v>
      </c>
      <c r="P391" t="str">
        <f t="shared" si="152"/>
        <v xml:space="preserve">STATE 3R                                                                                            </v>
      </c>
    </row>
    <row r="392" spans="1:16" x14ac:dyDescent="0.25">
      <c r="A392" t="str">
        <f t="shared" si="151"/>
        <v>10</v>
      </c>
      <c r="B392" t="str">
        <f>CLEAN("22")</f>
        <v>22</v>
      </c>
      <c r="C392" s="1">
        <v>45894</v>
      </c>
      <c r="D392" t="str">
        <f>CLEAN("3110-08-50")</f>
        <v>3110-08-50</v>
      </c>
      <c r="E392" t="str">
        <f t="shared" si="149"/>
        <v xml:space="preserve">303  </v>
      </c>
      <c r="F392" t="str">
        <f>CLEAN("$250,000 - $499,999      ")</f>
        <v xml:space="preserve">$250,000 - $499,999      </v>
      </c>
      <c r="G392" t="str">
        <f>CLEAN("R/R")</f>
        <v>R/R</v>
      </c>
      <c r="H392" t="str">
        <f>CLEAN("NONLET CONSTR/REAL ESTATE")</f>
        <v>NONLET CONSTR/REAL ESTATE</v>
      </c>
      <c r="I392" t="str">
        <f>CLEAN("RR/XING SURFACE/WSOR DOT 391546N   ")</f>
        <v xml:space="preserve">RR/XING SURFACE/WSOR DOT 391546N   </v>
      </c>
      <c r="J392" t="str">
        <f>CLEAN("STH 059")</f>
        <v>STH 059</v>
      </c>
      <c r="K392" t="str">
        <f>CLEAN("WAUKESHA                      ")</f>
        <v xml:space="preserve">WAUKESHA                      </v>
      </c>
      <c r="L392" t="str">
        <f>CLEAN("WHITEWATER - MILWAUKEE             ")</f>
        <v xml:space="preserve">WHITEWATER - MILWAUKEE             </v>
      </c>
      <c r="M392" t="str">
        <f>CLEAN("W COUNTY LINE TO CTH X             ")</f>
        <v xml:space="preserve">W COUNTY LINE TO CTH X             </v>
      </c>
      <c r="N392">
        <v>0</v>
      </c>
      <c r="O392" t="str">
        <f t="shared" si="146"/>
        <v xml:space="preserve">          </v>
      </c>
      <c r="P392" t="str">
        <f t="shared" si="152"/>
        <v xml:space="preserve">STATE 3R                                                                                            </v>
      </c>
    </row>
    <row r="393" spans="1:16" x14ac:dyDescent="0.25">
      <c r="A393" t="str">
        <f t="shared" si="151"/>
        <v>10</v>
      </c>
      <c r="B393" t="str">
        <f>CLEAN("22")</f>
        <v>22</v>
      </c>
      <c r="C393" s="1">
        <v>46259</v>
      </c>
      <c r="D393" t="str">
        <f>CLEAN("3110-08-51")</f>
        <v>3110-08-51</v>
      </c>
      <c r="E393" t="str">
        <f t="shared" si="149"/>
        <v xml:space="preserve">303  </v>
      </c>
      <c r="F393" t="str">
        <f>CLEAN("$250,000 - $499,999      ")</f>
        <v xml:space="preserve">$250,000 - $499,999      </v>
      </c>
      <c r="G393" t="str">
        <f>CLEAN("R/R")</f>
        <v>R/R</v>
      </c>
      <c r="H393" t="str">
        <f>CLEAN("NONLET CONSTR/REAL ESTATE")</f>
        <v>NONLET CONSTR/REAL ESTATE</v>
      </c>
      <c r="I393" t="str">
        <f>CLEAN("RR/XING SIGNALS/WSOR DOT 391546N   ")</f>
        <v xml:space="preserve">RR/XING SIGNALS/WSOR DOT 391546N   </v>
      </c>
      <c r="J393" t="str">
        <f>CLEAN("STH 059")</f>
        <v>STH 059</v>
      </c>
      <c r="K393" t="str">
        <f>CLEAN("WAUKESHA                      ")</f>
        <v xml:space="preserve">WAUKESHA                      </v>
      </c>
      <c r="L393" t="str">
        <f>CLEAN("WHITEWATER - MILWAUKEE             ")</f>
        <v xml:space="preserve">WHITEWATER - MILWAUKEE             </v>
      </c>
      <c r="M393" t="str">
        <f>CLEAN("W COUNTY LINE TO CTH X             ")</f>
        <v xml:space="preserve">W COUNTY LINE TO CTH X             </v>
      </c>
      <c r="N393">
        <v>0</v>
      </c>
      <c r="O393" t="str">
        <f t="shared" si="146"/>
        <v xml:space="preserve">          </v>
      </c>
      <c r="P393" t="str">
        <f t="shared" si="152"/>
        <v xml:space="preserve">STATE 3R                                                                                            </v>
      </c>
    </row>
    <row r="394" spans="1:16" x14ac:dyDescent="0.25">
      <c r="A394" t="str">
        <f t="shared" si="151"/>
        <v>10</v>
      </c>
      <c r="B394" t="str">
        <f>CLEAN("22")</f>
        <v>22</v>
      </c>
      <c r="C394" s="1">
        <v>45972</v>
      </c>
      <c r="D394" t="str">
        <f>CLEAN("3110-08-70")</f>
        <v>3110-08-70</v>
      </c>
      <c r="E394" t="str">
        <f t="shared" si="149"/>
        <v xml:space="preserve">303  </v>
      </c>
      <c r="F394" t="str">
        <f>CLEAN("$11,000,000 - $11,999,999")</f>
        <v>$11,000,000 - $11,999,999</v>
      </c>
      <c r="G394" t="str">
        <f>CLEAN("LET")</f>
        <v>LET</v>
      </c>
      <c r="H394" t="str">
        <f>CLEAN("LET CONSTRUCTION         ")</f>
        <v xml:space="preserve">LET CONSTRUCTION         </v>
      </c>
      <c r="I394" t="str">
        <f>CLEAN("CONST/RESURFACE                    ")</f>
        <v xml:space="preserve">CONST/RESURFACE                    </v>
      </c>
      <c r="J394" t="str">
        <f>CLEAN("STH 059")</f>
        <v>STH 059</v>
      </c>
      <c r="K394" t="str">
        <f>CLEAN("WAUKESHA                      ")</f>
        <v xml:space="preserve">WAUKESHA                      </v>
      </c>
      <c r="L394" t="str">
        <f>CLEAN("WHITEWATER - MILWAUKEE             ")</f>
        <v xml:space="preserve">WHITEWATER - MILWAUKEE             </v>
      </c>
      <c r="M394" t="str">
        <f>CLEAN("STH 67 TO CTH X                    ")</f>
        <v xml:space="preserve">STH 67 TO CTH X                    </v>
      </c>
      <c r="N394">
        <v>12.663</v>
      </c>
      <c r="O394" t="str">
        <f t="shared" si="146"/>
        <v xml:space="preserve">          </v>
      </c>
      <c r="P394" t="str">
        <f t="shared" si="152"/>
        <v xml:space="preserve">STATE 3R                                                                                            </v>
      </c>
    </row>
    <row r="395" spans="1:16" x14ac:dyDescent="0.25">
      <c r="A395" t="str">
        <f t="shared" si="151"/>
        <v>10</v>
      </c>
      <c r="B395" t="str">
        <f>CLEAN("21")</f>
        <v>21</v>
      </c>
      <c r="C395" s="1">
        <v>45955</v>
      </c>
      <c r="D395" t="str">
        <f>CLEAN("3140-00-06")</f>
        <v>3140-00-06</v>
      </c>
      <c r="E395" t="str">
        <f>CLEAN("209  ")</f>
        <v xml:space="preserve">209  </v>
      </c>
      <c r="F395" t="str">
        <f>CLEAN("$1,000,000 - $1,999,999  ")</f>
        <v xml:space="preserve">$1,000,000 - $1,999,999  </v>
      </c>
      <c r="G395" t="str">
        <f>CLEAN("LLC")</f>
        <v>LLC</v>
      </c>
      <c r="H395" t="str">
        <f t="shared" ref="H395:H408" si="153">CLEAN("NONLET CONSTR/REAL ESTATE")</f>
        <v>NONLET CONSTR/REAL ESTATE</v>
      </c>
      <c r="I395" t="str">
        <f>CLEAN("ROADWAY IMPROVEMENTS/LLC/TEA       ")</f>
        <v xml:space="preserve">ROADWAY IMPROVEMENTS/LLC/TEA       </v>
      </c>
      <c r="J395" t="str">
        <f>CLEAN("LOC STR")</f>
        <v>LOC STR</v>
      </c>
      <c r="K395" t="str">
        <f>CLEAN("ROCK                          ")</f>
        <v xml:space="preserve">ROCK                          </v>
      </c>
      <c r="L395" t="str">
        <f>CLEAN("C MILTON, VICKERMAN RD             ")</f>
        <v xml:space="preserve">C MILTON, VICKERMAN RD             </v>
      </c>
      <c r="M395" t="str">
        <f>CLEAN("M-H TOWNLINE RD TO STH 59          ")</f>
        <v xml:space="preserve">M-H TOWNLINE RD TO STH 59          </v>
      </c>
      <c r="N395">
        <v>1</v>
      </c>
      <c r="O395" t="str">
        <f t="shared" si="146"/>
        <v xml:space="preserve">          </v>
      </c>
      <c r="P395" t="str">
        <f>CLEAN("TRANS ECONOMIC ASSISTANCE (TEA)                                                                     ")</f>
        <v xml:space="preserve">TRANS ECONOMIC ASSISTANCE (TEA)                                                                     </v>
      </c>
    </row>
    <row r="396" spans="1:16" x14ac:dyDescent="0.25">
      <c r="A396" t="str">
        <f t="shared" si="151"/>
        <v>10</v>
      </c>
      <c r="B396" t="str">
        <f>CLEAN("22")</f>
        <v>22</v>
      </c>
      <c r="C396" s="1">
        <v>45894</v>
      </c>
      <c r="D396" t="str">
        <f>CLEAN("3150-06-20")</f>
        <v>3150-06-20</v>
      </c>
      <c r="E396" t="str">
        <f t="shared" ref="E396:E409" si="154">CLEAN("303  ")</f>
        <v xml:space="preserve">303  </v>
      </c>
      <c r="F396" t="str">
        <f>CLEAN("$750,000 - $999,999      ")</f>
        <v xml:space="preserve">$750,000 - $999,999      </v>
      </c>
      <c r="G396" t="str">
        <f t="shared" ref="G396:G408" si="155">CLEAN("R/E")</f>
        <v>R/E</v>
      </c>
      <c r="H396" t="str">
        <f t="shared" si="153"/>
        <v>NONLET CONSTR/REAL ESTATE</v>
      </c>
      <c r="I396" t="str">
        <f>CLEAN("RE/RECONDITIONING/MILL &amp; OVERLAY   ")</f>
        <v xml:space="preserve">RE/RECONDITIONING/MILL &amp; OVERLAY   </v>
      </c>
      <c r="J396" t="str">
        <f>CLEAN("USH 014")</f>
        <v>USH 014</v>
      </c>
      <c r="K396" t="str">
        <f>CLEAN("WALWORTH                      ")</f>
        <v xml:space="preserve">WALWORTH                      </v>
      </c>
      <c r="L396" t="str">
        <f>CLEAN("DARIEN-BIG FOOT                    ")</f>
        <v xml:space="preserve">DARIEN-BIG FOOT                    </v>
      </c>
      <c r="M396" t="str">
        <f>CLEAN("CTH K TO ILLINOIS ST LINE          ")</f>
        <v xml:space="preserve">CTH K TO ILLINOIS ST LINE          </v>
      </c>
      <c r="N396">
        <v>7.72</v>
      </c>
      <c r="O396" t="str">
        <f t="shared" si="146"/>
        <v xml:space="preserve">          </v>
      </c>
      <c r="P396" t="str">
        <f t="shared" ref="P396:P409" si="156"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397" spans="1:16" x14ac:dyDescent="0.25">
      <c r="A397" t="str">
        <f t="shared" si="151"/>
        <v>10</v>
      </c>
      <c r="B397" t="str">
        <f>CLEAN("22")</f>
        <v>22</v>
      </c>
      <c r="C397" s="1">
        <v>45955</v>
      </c>
      <c r="D397" t="str">
        <f>CLEAN("3180-07-21")</f>
        <v>3180-07-21</v>
      </c>
      <c r="E397" t="str">
        <f t="shared" si="154"/>
        <v xml:space="preserve">303  </v>
      </c>
      <c r="F397" t="str">
        <f>CLEAN("$0 - $99,999             ")</f>
        <v xml:space="preserve">$0 - $99,999             </v>
      </c>
      <c r="G397" t="str">
        <f t="shared" si="155"/>
        <v>R/E</v>
      </c>
      <c r="H397" t="str">
        <f t="shared" si="153"/>
        <v>NONLET CONSTR/REAL ESTATE</v>
      </c>
      <c r="I397" t="str">
        <f>CLEAN("RE/RESURFACE                       ")</f>
        <v xml:space="preserve">RE/RESURFACE                       </v>
      </c>
      <c r="J397" t="str">
        <f>CLEAN("STH 120")</f>
        <v>STH 120</v>
      </c>
      <c r="K397" t="str">
        <f>CLEAN("WALWORTH                      ")</f>
        <v xml:space="preserve">WALWORTH                      </v>
      </c>
      <c r="L397" t="str">
        <f>CLEAN("C LAKE GENEVA, EDWARDS BLVD        ")</f>
        <v xml:space="preserve">C LAKE GENEVA, EDWARDS BLVD        </v>
      </c>
      <c r="M397" t="str">
        <f>CLEAN("TOWNLINE RD TO STH 50              ")</f>
        <v xml:space="preserve">TOWNLINE RD TO STH 50              </v>
      </c>
      <c r="N397">
        <v>0.78</v>
      </c>
      <c r="O397" t="str">
        <f t="shared" si="146"/>
        <v xml:space="preserve">          </v>
      </c>
      <c r="P397" t="str">
        <f t="shared" si="156"/>
        <v xml:space="preserve">STATE 3R                                                                                            </v>
      </c>
    </row>
    <row r="398" spans="1:16" x14ac:dyDescent="0.25">
      <c r="A398" t="str">
        <f t="shared" si="151"/>
        <v>10</v>
      </c>
      <c r="B398" t="str">
        <f>CLEAN("22")</f>
        <v>22</v>
      </c>
      <c r="C398" s="1">
        <v>46198</v>
      </c>
      <c r="D398" t="str">
        <f>CLEAN("3240-00-23")</f>
        <v>3240-00-23</v>
      </c>
      <c r="E398" t="str">
        <f t="shared" si="154"/>
        <v xml:space="preserve">303  </v>
      </c>
      <c r="F398" t="str">
        <f>CLEAN("$100,000-$249,999        ")</f>
        <v xml:space="preserve">$100,000-$249,999        </v>
      </c>
      <c r="G398" t="str">
        <f t="shared" si="155"/>
        <v>R/E</v>
      </c>
      <c r="H398" t="str">
        <f t="shared" si="153"/>
        <v>NONLET CONSTR/REAL ESTATE</v>
      </c>
      <c r="I398" t="str">
        <f>CLEAN("RE/RESURFACE                       ")</f>
        <v xml:space="preserve">RE/RESURFACE                       </v>
      </c>
      <c r="J398" t="str">
        <f>CLEAN("STH 032")</f>
        <v>STH 032</v>
      </c>
      <c r="K398" t="str">
        <f>CLEAN("KENOSHA                       ")</f>
        <v xml:space="preserve">KENOSHA                       </v>
      </c>
      <c r="L398" t="str">
        <f>CLEAN("SHERIDAN ROAD                      ")</f>
        <v xml:space="preserve">SHERIDAN ROAD                      </v>
      </c>
      <c r="M398" t="str">
        <f>CLEAN("ALFORD PARK DRIVE TO 21ST STREET   ")</f>
        <v xml:space="preserve">ALFORD PARK DRIVE TO 21ST STREET   </v>
      </c>
      <c r="N398">
        <v>5.74</v>
      </c>
      <c r="O398" t="str">
        <f t="shared" ref="O398:O414" si="157">CLEAN("          ")</f>
        <v xml:space="preserve">          </v>
      </c>
      <c r="P398" t="str">
        <f t="shared" si="156"/>
        <v xml:space="preserve">STATE 3R                                                                                            </v>
      </c>
    </row>
    <row r="399" spans="1:16" x14ac:dyDescent="0.25">
      <c r="A399" t="str">
        <f t="shared" si="151"/>
        <v>10</v>
      </c>
      <c r="B399" t="str">
        <f>CLEAN("22")</f>
        <v>22</v>
      </c>
      <c r="C399" s="1">
        <v>45955</v>
      </c>
      <c r="D399" t="str">
        <f>CLEAN("3240-00-26")</f>
        <v>3240-00-26</v>
      </c>
      <c r="E399" t="str">
        <f t="shared" si="154"/>
        <v xml:space="preserve">303  </v>
      </c>
      <c r="F399" t="str">
        <f>CLEAN("$0 - $99,999             ")</f>
        <v xml:space="preserve">$0 - $99,999             </v>
      </c>
      <c r="G399" t="str">
        <f t="shared" si="155"/>
        <v>R/E</v>
      </c>
      <c r="H399" t="str">
        <f t="shared" si="153"/>
        <v>NONLET CONSTR/REAL ESTATE</v>
      </c>
      <c r="I399" t="str">
        <f>CLEAN("RE/RSRF25                          ")</f>
        <v xml:space="preserve">RE/RSRF25                          </v>
      </c>
      <c r="J399" t="str">
        <f>CLEAN("STH 032")</f>
        <v>STH 032</v>
      </c>
      <c r="K399" t="str">
        <f>CLEAN("KENOSHA                       ")</f>
        <v xml:space="preserve">KENOSHA                       </v>
      </c>
      <c r="L399" t="str">
        <f>CLEAN("C KENOSHA, ALFORD PARK DR          ")</f>
        <v xml:space="preserve">C KENOSHA, ALFORD PARK DR          </v>
      </c>
      <c r="M399" t="str">
        <f>CLEAN("7TH AVE TO 17TH PLACE              ")</f>
        <v xml:space="preserve">7TH AVE TO 17TH PLACE              </v>
      </c>
      <c r="N399">
        <v>1.27</v>
      </c>
      <c r="O399" t="str">
        <f t="shared" si="157"/>
        <v xml:space="preserve">          </v>
      </c>
      <c r="P399" t="str">
        <f t="shared" si="156"/>
        <v xml:space="preserve">STATE 3R                                                                                            </v>
      </c>
    </row>
    <row r="400" spans="1:16" x14ac:dyDescent="0.25">
      <c r="A400" t="str">
        <f t="shared" si="151"/>
        <v>10</v>
      </c>
      <c r="B400" t="str">
        <f>CLEAN("22")</f>
        <v>22</v>
      </c>
      <c r="C400" s="1">
        <v>46137</v>
      </c>
      <c r="D400" t="str">
        <f>CLEAN("3240-00-27")</f>
        <v>3240-00-27</v>
      </c>
      <c r="E400" t="str">
        <f t="shared" si="154"/>
        <v xml:space="preserve">303  </v>
      </c>
      <c r="F400" t="str">
        <f>CLEAN("$250,000 - $499,999      ")</f>
        <v xml:space="preserve">$250,000 - $499,999      </v>
      </c>
      <c r="G400" t="str">
        <f t="shared" si="155"/>
        <v>R/E</v>
      </c>
      <c r="H400" t="str">
        <f t="shared" si="153"/>
        <v>NONLET CONSTR/REAL ESTATE</v>
      </c>
      <c r="I400" t="str">
        <f>CLEAN("RE/PAVEMENT REPLACEMENT            ")</f>
        <v xml:space="preserve">RE/PAVEMENT REPLACEMENT            </v>
      </c>
      <c r="J400" t="str">
        <f>CLEAN("STH 032")</f>
        <v>STH 032</v>
      </c>
      <c r="K400" t="str">
        <f>CLEAN("KENOSHA                       ")</f>
        <v xml:space="preserve">KENOSHA                       </v>
      </c>
      <c r="L400" t="str">
        <f>CLEAN("C KENOSHA, SHERIDAN RD             ")</f>
        <v xml:space="preserve">C KENOSHA, SHERIDAN RD             </v>
      </c>
      <c r="M400" t="str">
        <f>CLEAN("49TH ST TO 7TH AVE                 ")</f>
        <v xml:space="preserve">49TH ST TO 7TH AVE                 </v>
      </c>
      <c r="N400">
        <v>1.1120000000000001</v>
      </c>
      <c r="O400" t="str">
        <f t="shared" si="157"/>
        <v xml:space="preserve">          </v>
      </c>
      <c r="P400" t="str">
        <f t="shared" si="156"/>
        <v xml:space="preserve">STATE 3R                                                                                            </v>
      </c>
    </row>
    <row r="401" spans="1:16" x14ac:dyDescent="0.25">
      <c r="A401" t="str">
        <f t="shared" si="151"/>
        <v>10</v>
      </c>
      <c r="B401" t="str">
        <f>CLEAN("21")</f>
        <v>21</v>
      </c>
      <c r="C401" s="1">
        <v>45955</v>
      </c>
      <c r="D401" t="str">
        <f>CLEAN("3290-00-25")</f>
        <v>3290-00-25</v>
      </c>
      <c r="E401" t="str">
        <f t="shared" si="154"/>
        <v xml:space="preserve">303  </v>
      </c>
      <c r="F401" t="str">
        <f>CLEAN("$0 - $99,999             ")</f>
        <v xml:space="preserve">$0 - $99,999             </v>
      </c>
      <c r="G401" t="str">
        <f t="shared" si="155"/>
        <v>R/E</v>
      </c>
      <c r="H401" t="str">
        <f t="shared" si="153"/>
        <v>NONLET CONSTR/REAL ESTATE</v>
      </c>
      <c r="I401" t="str">
        <f>CLEAN("RIGHT-OF-WAY DESIGN-PVRPLA         ")</f>
        <v xml:space="preserve">RIGHT-OF-WAY DESIGN-PVRPLA         </v>
      </c>
      <c r="J401" t="str">
        <f>CLEAN("STH 089")</f>
        <v>STH 089</v>
      </c>
      <c r="K401" t="str">
        <f>CLEAN("JEFFERSON                     ")</f>
        <v xml:space="preserve">JEFFERSON                     </v>
      </c>
      <c r="L401" t="str">
        <f>CLEAN("LAKE MILLS - COLUMBUS              ")</f>
        <v xml:space="preserve">LAKE MILLS - COLUMBUS              </v>
      </c>
      <c r="M401" t="str">
        <f>CLEAN("WATERLOO EAST LIMIT TO B-28-77     ")</f>
        <v xml:space="preserve">WATERLOO EAST LIMIT TO B-28-77     </v>
      </c>
      <c r="N401">
        <v>0.55200000000000005</v>
      </c>
      <c r="O401" t="str">
        <f t="shared" si="157"/>
        <v xml:space="preserve">          </v>
      </c>
      <c r="P401" t="str">
        <f t="shared" si="156"/>
        <v xml:space="preserve">STATE 3R                                                                                            </v>
      </c>
    </row>
    <row r="402" spans="1:16" x14ac:dyDescent="0.25">
      <c r="A402" t="str">
        <f t="shared" si="151"/>
        <v>10</v>
      </c>
      <c r="B402" t="str">
        <f>CLEAN("21")</f>
        <v>21</v>
      </c>
      <c r="C402" s="1">
        <v>45925</v>
      </c>
      <c r="D402" t="str">
        <f>CLEAN("3315-00-20")</f>
        <v>3315-00-20</v>
      </c>
      <c r="E402" t="str">
        <f t="shared" si="154"/>
        <v xml:space="preserve">303  </v>
      </c>
      <c r="F402" t="str">
        <f>CLEAN("$0 - $99,999             ")</f>
        <v xml:space="preserve">$0 - $99,999             </v>
      </c>
      <c r="G402" t="str">
        <f t="shared" si="155"/>
        <v>R/E</v>
      </c>
      <c r="H402" t="str">
        <f t="shared" si="153"/>
        <v>NONLET CONSTR/REAL ESTATE</v>
      </c>
      <c r="I402" t="str">
        <f>CLEAN("R/E OPERATIONS-RSRF30              ")</f>
        <v xml:space="preserve">R/E OPERATIONS-RSRF30              </v>
      </c>
      <c r="J402" t="str">
        <f>CLEAN("USH 014")</f>
        <v>USH 014</v>
      </c>
      <c r="K402" t="str">
        <f>CLEAN("ROCK                          ")</f>
        <v xml:space="preserve">ROCK                          </v>
      </c>
      <c r="L402" t="str">
        <f>CLEAN("JANESVILLE - DARIEN                ")</f>
        <v xml:space="preserve">JANESVILLE - DARIEN                </v>
      </c>
      <c r="M402" t="str">
        <f>CLEAN(".17M E WRIGHT RD TO .3M S CTH MM   ")</f>
        <v xml:space="preserve">.17M E WRIGHT RD TO .3M S CTH MM   </v>
      </c>
      <c r="N402">
        <v>3.1629999999999998</v>
      </c>
      <c r="O402" t="str">
        <f t="shared" si="157"/>
        <v xml:space="preserve">          </v>
      </c>
      <c r="P402" t="str">
        <f t="shared" si="156"/>
        <v xml:space="preserve">STATE 3R                                                                                            </v>
      </c>
    </row>
    <row r="403" spans="1:16" x14ac:dyDescent="0.25">
      <c r="A403" t="str">
        <f t="shared" si="151"/>
        <v>10</v>
      </c>
      <c r="B403" t="str">
        <f>CLEAN("22")</f>
        <v>22</v>
      </c>
      <c r="C403" s="1">
        <v>46228</v>
      </c>
      <c r="D403" t="str">
        <f>CLEAN("3325-05-20")</f>
        <v>3325-05-20</v>
      </c>
      <c r="E403" t="str">
        <f t="shared" si="154"/>
        <v xml:space="preserve">303  </v>
      </c>
      <c r="F403" t="str">
        <f>CLEAN("$250,000 - $499,999      ")</f>
        <v xml:space="preserve">$250,000 - $499,999      </v>
      </c>
      <c r="G403" t="str">
        <f t="shared" si="155"/>
        <v>R/E</v>
      </c>
      <c r="H403" t="str">
        <f t="shared" si="153"/>
        <v>NONLET CONSTR/REAL ESTATE</v>
      </c>
      <c r="I403" t="str">
        <f>CLEAN("RE/RSRF25                          ")</f>
        <v xml:space="preserve">RE/RSRF25                          </v>
      </c>
      <c r="J403" t="str">
        <f>CLEAN("STH 067")</f>
        <v>STH 067</v>
      </c>
      <c r="K403" t="str">
        <f>CLEAN("WALWORTH                      ")</f>
        <v xml:space="preserve">WALWORTH                      </v>
      </c>
      <c r="L403" t="str">
        <f>CLEAN("C ELKHORN,LINCOLN,GENEVA,WISCONSIN ")</f>
        <v xml:space="preserve">C ELKHORN,LINCOLN,GENEVA,WISCONSIN </v>
      </c>
      <c r="M403" t="str">
        <f>CLEAN("IH43 TO E WALWORTH ST              ")</f>
        <v xml:space="preserve">IH43 TO E WALWORTH ST              </v>
      </c>
      <c r="N403">
        <v>1.359</v>
      </c>
      <c r="O403" t="str">
        <f t="shared" si="157"/>
        <v xml:space="preserve">          </v>
      </c>
      <c r="P403" t="str">
        <f t="shared" si="156"/>
        <v xml:space="preserve">STATE 3R                                                                                            </v>
      </c>
    </row>
    <row r="404" spans="1:16" x14ac:dyDescent="0.25">
      <c r="A404" t="str">
        <f t="shared" si="151"/>
        <v>10</v>
      </c>
      <c r="B404" t="str">
        <f>CLEAN("22")</f>
        <v>22</v>
      </c>
      <c r="C404" s="1">
        <v>45894</v>
      </c>
      <c r="D404" t="str">
        <f>CLEAN("3325-08-20")</f>
        <v>3325-08-20</v>
      </c>
      <c r="E404" t="str">
        <f t="shared" si="154"/>
        <v xml:space="preserve">303  </v>
      </c>
      <c r="F404" t="str">
        <f>CLEAN("$100,000-$249,999        ")</f>
        <v xml:space="preserve">$100,000-$249,999        </v>
      </c>
      <c r="G404" t="str">
        <f t="shared" si="155"/>
        <v>R/E</v>
      </c>
      <c r="H404" t="str">
        <f t="shared" si="153"/>
        <v>NONLET CONSTR/REAL ESTATE</v>
      </c>
      <c r="I404" t="str">
        <f>CLEAN("RE/RSRF25                          ")</f>
        <v xml:space="preserve">RE/RSRF25                          </v>
      </c>
      <c r="J404" t="str">
        <f>CLEAN("STH 067")</f>
        <v>STH 067</v>
      </c>
      <c r="K404" t="str">
        <f>CLEAN("WALWORTH                      ")</f>
        <v xml:space="preserve">WALWORTH                      </v>
      </c>
      <c r="L404" t="str">
        <f>CLEAN("BELOIT - ELKHORN                   ")</f>
        <v xml:space="preserve">BELOIT - ELKHORN                   </v>
      </c>
      <c r="M404" t="str">
        <f>CLEAN("MAIN ST TO THEATRE RD              ")</f>
        <v xml:space="preserve">MAIN ST TO THEATRE RD              </v>
      </c>
      <c r="N404">
        <v>3.7789999999999999</v>
      </c>
      <c r="O404" t="str">
        <f t="shared" si="157"/>
        <v xml:space="preserve">          </v>
      </c>
      <c r="P404" t="str">
        <f t="shared" si="156"/>
        <v xml:space="preserve">STATE 3R                                                                                            </v>
      </c>
    </row>
    <row r="405" spans="1:16" x14ac:dyDescent="0.25">
      <c r="A405" t="str">
        <f t="shared" si="151"/>
        <v>10</v>
      </c>
      <c r="B405" t="str">
        <f>CLEAN("22")</f>
        <v>22</v>
      </c>
      <c r="C405" s="1">
        <v>46137</v>
      </c>
      <c r="D405" t="str">
        <f>CLEAN("3360-07-23")</f>
        <v>3360-07-23</v>
      </c>
      <c r="E405" t="str">
        <f t="shared" si="154"/>
        <v xml:space="preserve">303  </v>
      </c>
      <c r="F405" t="str">
        <f>CLEAN("$250,000 - $499,999      ")</f>
        <v xml:space="preserve">$250,000 - $499,999      </v>
      </c>
      <c r="G405" t="str">
        <f t="shared" si="155"/>
        <v>R/E</v>
      </c>
      <c r="H405" t="str">
        <f t="shared" si="153"/>
        <v>NONLET CONSTR/REAL ESTATE</v>
      </c>
      <c r="I405" t="str">
        <f>CLEAN("RE/PVRPLA                          ")</f>
        <v xml:space="preserve">RE/PVRPLA                          </v>
      </c>
      <c r="J405" t="str">
        <f>CLEAN("STH 175")</f>
        <v>STH 175</v>
      </c>
      <c r="K405" t="str">
        <f>CLEAN("WASHINGTON                    ")</f>
        <v xml:space="preserve">WASHINGTON                    </v>
      </c>
      <c r="L405" t="str">
        <f>CLEAN("SLINGER - THERESA                  ")</f>
        <v xml:space="preserve">SLINGER - THERESA                  </v>
      </c>
      <c r="M405" t="str">
        <f>CLEAN("MAPLE AVE TO 1600' NORTH OF CTH K  ")</f>
        <v xml:space="preserve">MAPLE AVE TO 1600' NORTH OF CTH K  </v>
      </c>
      <c r="N405">
        <v>3.5270000000000001</v>
      </c>
      <c r="O405" t="str">
        <f t="shared" si="157"/>
        <v xml:space="preserve">          </v>
      </c>
      <c r="P405" t="str">
        <f t="shared" si="156"/>
        <v xml:space="preserve">STATE 3R                                                                                            </v>
      </c>
    </row>
    <row r="406" spans="1:16" x14ac:dyDescent="0.25">
      <c r="A406" t="str">
        <f t="shared" si="151"/>
        <v>10</v>
      </c>
      <c r="B406" t="str">
        <f t="shared" ref="B406:B417" si="158">CLEAN("21")</f>
        <v>21</v>
      </c>
      <c r="C406" s="1">
        <v>46137</v>
      </c>
      <c r="D406" t="str">
        <f>CLEAN("3576-01-22")</f>
        <v>3576-01-22</v>
      </c>
      <c r="E406" t="str">
        <f t="shared" si="154"/>
        <v xml:space="preserve">303  </v>
      </c>
      <c r="F406" t="str">
        <f>CLEAN("$0 - $99,999             ")</f>
        <v xml:space="preserve">$0 - $99,999             </v>
      </c>
      <c r="G406" t="str">
        <f t="shared" si="155"/>
        <v>R/E</v>
      </c>
      <c r="H406" t="str">
        <f t="shared" si="153"/>
        <v>NONLET CONSTR/REAL ESTATE</v>
      </c>
      <c r="I406" t="str">
        <f>CLEAN("RE/ PVRPLA/ CONST 3576-01-72       ")</f>
        <v xml:space="preserve">RE/ PVRPLA/ CONST 3576-01-72       </v>
      </c>
      <c r="J406" t="str">
        <f>CLEAN("STH 106")</f>
        <v>STH 106</v>
      </c>
      <c r="K406" t="str">
        <f>CLEAN("JEFFERSON                     ")</f>
        <v xml:space="preserve">JEFFERSON                     </v>
      </c>
      <c r="L406" t="str">
        <f>CLEAN("C FORT ATKINSON, RIVERSIDE DRIVE   ")</f>
        <v xml:space="preserve">C FORT ATKINSON, RIVERSIDE DRIVE   </v>
      </c>
      <c r="M406" t="str">
        <f>CLEAN("PARK DRIVE TO ROBERT STREET        ")</f>
        <v xml:space="preserve">PARK DRIVE TO ROBERT STREET        </v>
      </c>
      <c r="N406">
        <v>0.85</v>
      </c>
      <c r="O406" t="str">
        <f t="shared" si="157"/>
        <v xml:space="preserve">          </v>
      </c>
      <c r="P406" t="str">
        <f t="shared" si="156"/>
        <v xml:space="preserve">STATE 3R                                                                                            </v>
      </c>
    </row>
    <row r="407" spans="1:16" x14ac:dyDescent="0.25">
      <c r="A407" t="str">
        <f t="shared" si="151"/>
        <v>10</v>
      </c>
      <c r="B407" t="str">
        <f t="shared" si="158"/>
        <v>21</v>
      </c>
      <c r="C407" s="1">
        <v>46228</v>
      </c>
      <c r="D407" t="str">
        <f>CLEAN("3576-06-23")</f>
        <v>3576-06-23</v>
      </c>
      <c r="E407" t="str">
        <f t="shared" si="154"/>
        <v xml:space="preserve">303  </v>
      </c>
      <c r="F407" t="str">
        <f>CLEAN("$0 - $99,999             ")</f>
        <v xml:space="preserve">$0 - $99,999             </v>
      </c>
      <c r="G407" t="str">
        <f t="shared" si="155"/>
        <v>R/E</v>
      </c>
      <c r="H407" t="str">
        <f t="shared" si="153"/>
        <v>NONLET CONSTR/REAL ESTATE</v>
      </c>
      <c r="I407" t="str">
        <f>CLEAN("RIGHT-OF-WAY DESIGN-RECST          ")</f>
        <v xml:space="preserve">RIGHT-OF-WAY DESIGN-RECST          </v>
      </c>
      <c r="J407" t="str">
        <f>CLEAN("STH 106")</f>
        <v>STH 106</v>
      </c>
      <c r="K407" t="str">
        <f>CLEAN("JEFFERSON                     ")</f>
        <v xml:space="preserve">JEFFERSON                     </v>
      </c>
      <c r="L407" t="str">
        <f>CLEAN("ALBION - FT ATKINSON               ")</f>
        <v xml:space="preserve">ALBION - FT ATKINSON               </v>
      </c>
      <c r="M407" t="str">
        <f>CLEAN("LOGA ROAD INTERSECTION             ")</f>
        <v xml:space="preserve">LOGA ROAD INTERSECTION             </v>
      </c>
      <c r="N407">
        <v>0.32500000000000001</v>
      </c>
      <c r="O407" t="str">
        <f t="shared" si="157"/>
        <v xml:space="preserve">          </v>
      </c>
      <c r="P407" t="str">
        <f t="shared" si="156"/>
        <v xml:space="preserve">STATE 3R                                                                                            </v>
      </c>
    </row>
    <row r="408" spans="1:16" x14ac:dyDescent="0.25">
      <c r="A408" t="str">
        <f t="shared" si="151"/>
        <v>10</v>
      </c>
      <c r="B408" t="str">
        <f t="shared" si="158"/>
        <v>21</v>
      </c>
      <c r="C408" s="1">
        <v>45925</v>
      </c>
      <c r="D408" t="str">
        <f>CLEAN("3576-07-24")</f>
        <v>3576-07-24</v>
      </c>
      <c r="E408" t="str">
        <f t="shared" si="154"/>
        <v xml:space="preserve">303  </v>
      </c>
      <c r="F408" t="str">
        <f>CLEAN("$0 - $99,999             ")</f>
        <v xml:space="preserve">$0 - $99,999             </v>
      </c>
      <c r="G408" t="str">
        <f t="shared" si="155"/>
        <v>R/E</v>
      </c>
      <c r="H408" t="str">
        <f t="shared" si="153"/>
        <v>NONLET CONSTR/REAL ESTATE</v>
      </c>
      <c r="I408" t="str">
        <f>CLEAN("RE/RECST/CONST 3576-07-74          ")</f>
        <v xml:space="preserve">RE/RECST/CONST 3576-07-74          </v>
      </c>
      <c r="J408" t="str">
        <f>CLEAN("STH 106")</f>
        <v>STH 106</v>
      </c>
      <c r="K408" t="str">
        <f>CLEAN("JEFFERSON                     ")</f>
        <v xml:space="preserve">JEFFERSON                     </v>
      </c>
      <c r="L408" t="str">
        <f>CLEAN("FORT ATKINSON - PALMYRA            ")</f>
        <v xml:space="preserve">FORT ATKINSON - PALMYRA            </v>
      </c>
      <c r="M408" t="str">
        <f>CLEAN("CTH N INTERSECTION                 ")</f>
        <v xml:space="preserve">CTH N INTERSECTION                 </v>
      </c>
      <c r="N408">
        <v>0.17</v>
      </c>
      <c r="O408" t="str">
        <f t="shared" si="157"/>
        <v xml:space="preserve">          </v>
      </c>
      <c r="P408" t="str">
        <f t="shared" si="156"/>
        <v xml:space="preserve">STATE 3R                                                                                            </v>
      </c>
    </row>
    <row r="409" spans="1:16" x14ac:dyDescent="0.25">
      <c r="A409" t="str">
        <f t="shared" si="151"/>
        <v>10</v>
      </c>
      <c r="B409" t="str">
        <f t="shared" si="158"/>
        <v>21</v>
      </c>
      <c r="C409" s="1">
        <v>46035</v>
      </c>
      <c r="D409" t="str">
        <f>CLEAN("3601-00-74")</f>
        <v>3601-00-74</v>
      </c>
      <c r="E409" t="str">
        <f t="shared" si="154"/>
        <v xml:space="preserve">303  </v>
      </c>
      <c r="F409" t="str">
        <f>CLEAN("$2,000,000 - $2,999,999  ")</f>
        <v xml:space="preserve">$2,000,000 - $2,999,999  </v>
      </c>
      <c r="G409" t="str">
        <f>CLEAN("LET")</f>
        <v>LET</v>
      </c>
      <c r="H409" t="str">
        <f>CLEAN("LET CONSTRUCTION         ")</f>
        <v xml:space="preserve">LET CONSTRUCTION         </v>
      </c>
      <c r="I409" t="str">
        <f>CLEAN("CONST/ MILL AND OVERLAY            ")</f>
        <v xml:space="preserve">CONST/ MILL AND OVERLAY            </v>
      </c>
      <c r="J409" t="str">
        <f>CLEAN("STH 089")</f>
        <v>STH 089</v>
      </c>
      <c r="K409" t="str">
        <f>CLEAN("JEFFERSON                     ")</f>
        <v xml:space="preserve">JEFFERSON                     </v>
      </c>
      <c r="L409" t="str">
        <f>CLEAN("FT ATKINSON - LAKE MILLS           ")</f>
        <v xml:space="preserve">FT ATKINSON - LAKE MILLS           </v>
      </c>
      <c r="M409" t="str">
        <f>CLEAN("E BLACKHAWK DR TO USH 18           ")</f>
        <v xml:space="preserve">E BLACKHAWK DR TO USH 18           </v>
      </c>
      <c r="N409">
        <v>4.484</v>
      </c>
      <c r="O409" t="str">
        <f t="shared" si="157"/>
        <v xml:space="preserve">          </v>
      </c>
      <c r="P409" t="str">
        <f t="shared" si="156"/>
        <v xml:space="preserve">STATE 3R                                                                                            </v>
      </c>
    </row>
    <row r="410" spans="1:16" x14ac:dyDescent="0.25">
      <c r="A410" t="str">
        <f t="shared" si="151"/>
        <v>10</v>
      </c>
      <c r="B410" t="str">
        <f t="shared" si="158"/>
        <v>21</v>
      </c>
      <c r="C410" s="1">
        <v>46063</v>
      </c>
      <c r="D410" t="str">
        <f>CLEAN("3614-00-78")</f>
        <v>3614-00-78</v>
      </c>
      <c r="E410" t="str">
        <f>CLEAN("205  ")</f>
        <v xml:space="preserve">205  </v>
      </c>
      <c r="F410" t="str">
        <f>CLEAN("$1,000,000 - $1,999,999  ")</f>
        <v xml:space="preserve">$1,000,000 - $1,999,999  </v>
      </c>
      <c r="G410" t="str">
        <f>CLEAN("LET")</f>
        <v>LET</v>
      </c>
      <c r="H410" t="str">
        <f>CLEAN("LET CONSTRUCTION         ")</f>
        <v xml:space="preserve">LET CONSTRUCTION         </v>
      </c>
      <c r="I410" t="str">
        <f>CLEAN("CONST OPS/BRIDGE REPLACEMENT       ")</f>
        <v xml:space="preserve">CONST OPS/BRIDGE REPLACEMENT       </v>
      </c>
      <c r="J410" t="str">
        <f>CLEAN("LOC STR")</f>
        <v>LOC STR</v>
      </c>
      <c r="K410" t="str">
        <f>CLEAN("ROCK                          ")</f>
        <v xml:space="preserve">ROCK                          </v>
      </c>
      <c r="L410" t="str">
        <f>CLEAN("TOWN OF BRADFORD, O RILEY ROAD     ")</f>
        <v xml:space="preserve">TOWN OF BRADFORD, O RILEY ROAD     </v>
      </c>
      <c r="M410" t="str">
        <f>CLEAN("TURTLE CREEK BRIDGE B-53-0390      ")</f>
        <v xml:space="preserve">TURTLE CREEK BRIDGE B-53-0390      </v>
      </c>
      <c r="N410">
        <v>0</v>
      </c>
      <c r="O410" t="str">
        <f t="shared" si="157"/>
        <v xml:space="preserve">          </v>
      </c>
      <c r="P410" t="str">
        <f>CLEAN("LOCAL BRIDGES                                                                                       ")</f>
        <v xml:space="preserve">LOCAL BRIDGES                                                                                       </v>
      </c>
    </row>
    <row r="411" spans="1:16" x14ac:dyDescent="0.25">
      <c r="A411" t="str">
        <f t="shared" si="151"/>
        <v>10</v>
      </c>
      <c r="B411" t="str">
        <f t="shared" si="158"/>
        <v>21</v>
      </c>
      <c r="C411" s="1">
        <v>46245</v>
      </c>
      <c r="D411" t="str">
        <f>CLEAN("3633-00-74")</f>
        <v>3633-00-74</v>
      </c>
      <c r="E411" t="str">
        <f>CLEAN("205  ")</f>
        <v xml:space="preserve">205  </v>
      </c>
      <c r="F411" t="str">
        <f>CLEAN("$250,000 - $499,999      ")</f>
        <v xml:space="preserve">$250,000 - $499,999      </v>
      </c>
      <c r="G411" t="str">
        <f>CLEAN("LET")</f>
        <v>LET</v>
      </c>
      <c r="H411" t="str">
        <f>CLEAN("LET CONSTRUCTION         ")</f>
        <v xml:space="preserve">LET CONSTRUCTION         </v>
      </c>
      <c r="I411" t="str">
        <f>CLEAN("CONST OPS/BRIDGE REPLACEMENT       ")</f>
        <v xml:space="preserve">CONST OPS/BRIDGE REPLACEMENT       </v>
      </c>
      <c r="J411" t="str">
        <f>CLEAN("LOC STR")</f>
        <v>LOC STR</v>
      </c>
      <c r="K411" t="str">
        <f>CLEAN("JEFFERSON                     ")</f>
        <v xml:space="preserve">JEFFERSON                     </v>
      </c>
      <c r="L411" t="str">
        <f>CLEAN("TOWN OF FARMINGTON, WRIGHT ROAD    ")</f>
        <v xml:space="preserve">TOWN OF FARMINGTON, WRIGHT ROAD    </v>
      </c>
      <c r="M411" t="str">
        <f>CLEAN("JOHNSON CREEK BRIDGE B-28-0201     ")</f>
        <v xml:space="preserve">JOHNSON CREEK BRIDGE B-28-0201     </v>
      </c>
      <c r="N411">
        <v>1.2E-2</v>
      </c>
      <c r="O411" t="str">
        <f t="shared" si="157"/>
        <v xml:space="preserve">          </v>
      </c>
      <c r="P411" t="str">
        <f>CLEAN("LOCAL BRIDGES                                                                                       ")</f>
        <v xml:space="preserve">LOCAL BRIDGES                                                                                       </v>
      </c>
    </row>
    <row r="412" spans="1:16" x14ac:dyDescent="0.25">
      <c r="A412" t="str">
        <f t="shared" si="151"/>
        <v>10</v>
      </c>
      <c r="B412" t="str">
        <f t="shared" si="158"/>
        <v>21</v>
      </c>
      <c r="C412" s="1">
        <v>46035</v>
      </c>
      <c r="D412" t="str">
        <f>CLEAN("3634-00-75")</f>
        <v>3634-00-75</v>
      </c>
      <c r="E412" t="str">
        <f>CLEAN("205  ")</f>
        <v xml:space="preserve">205  </v>
      </c>
      <c r="F412" t="str">
        <f>CLEAN("$500,000 - $749,999      ")</f>
        <v xml:space="preserve">$500,000 - $749,999      </v>
      </c>
      <c r="G412" t="str">
        <f>CLEAN("LET")</f>
        <v>LET</v>
      </c>
      <c r="H412" t="str">
        <f>CLEAN("LET CONSTRUCTION         ")</f>
        <v xml:space="preserve">LET CONSTRUCTION         </v>
      </c>
      <c r="I412" t="str">
        <f>CLEAN("CONST/BRIDGE REPLACEMENT           ")</f>
        <v xml:space="preserve">CONST/BRIDGE REPLACEMENT           </v>
      </c>
      <c r="J412" t="str">
        <f>CLEAN("LOC STR")</f>
        <v>LOC STR</v>
      </c>
      <c r="K412" t="str">
        <f>CLEAN("JEFFERSON                     ")</f>
        <v xml:space="preserve">JEFFERSON                     </v>
      </c>
      <c r="L412" t="str">
        <f>CLEAN("T HEBRON, HAGEDORN ROAD            ")</f>
        <v xml:space="preserve">T HEBRON, HAGEDORN ROAD            </v>
      </c>
      <c r="M412" t="str">
        <f>CLEAN("DUCK CREEK BRIDGE B-28-0204        ")</f>
        <v xml:space="preserve">DUCK CREEK BRIDGE B-28-0204        </v>
      </c>
      <c r="N412">
        <v>2.8000000000000001E-2</v>
      </c>
      <c r="O412" t="str">
        <f t="shared" si="157"/>
        <v xml:space="preserve">          </v>
      </c>
      <c r="P412" t="str">
        <f>CLEAN("LOCAL BRIDGES                                                                                       ")</f>
        <v xml:space="preserve">LOCAL BRIDGES                                                                                       </v>
      </c>
    </row>
    <row r="413" spans="1:16" x14ac:dyDescent="0.25">
      <c r="A413" t="str">
        <f t="shared" ref="A413:A444" si="159">CLEAN("10")</f>
        <v>10</v>
      </c>
      <c r="B413" t="str">
        <f t="shared" si="158"/>
        <v>21</v>
      </c>
      <c r="C413" s="1">
        <v>45894</v>
      </c>
      <c r="D413" t="str">
        <f>CLEAN("3663-00-50")</f>
        <v>3663-00-50</v>
      </c>
      <c r="E413" t="str">
        <f>CLEAN("303  ")</f>
        <v xml:space="preserve">303  </v>
      </c>
      <c r="F413" t="str">
        <f>CLEAN("$100,000-$249,999        ")</f>
        <v xml:space="preserve">$100,000-$249,999        </v>
      </c>
      <c r="G413" t="str">
        <f>CLEAN("R/R")</f>
        <v>R/R</v>
      </c>
      <c r="H413" t="str">
        <f>CLEAN("NONLET CONSTR/REAL ESTATE")</f>
        <v>NONLET CONSTR/REAL ESTATE</v>
      </c>
      <c r="I413" t="str">
        <f>CLEAN("RR OPS/CROSSING SURFACE            ")</f>
        <v xml:space="preserve">RR OPS/CROSSING SURFACE            </v>
      </c>
      <c r="J413" t="str">
        <f>CLEAN("STH 067")</f>
        <v>STH 067</v>
      </c>
      <c r="K413" t="str">
        <f>CLEAN("ROCK                          ")</f>
        <v xml:space="preserve">ROCK                          </v>
      </c>
      <c r="L413" t="str">
        <f>CLEAN("BELOIT - WALWORTH                  ")</f>
        <v xml:space="preserve">BELOIT - WALWORTH                  </v>
      </c>
      <c r="M413" t="str">
        <f>CLEAN("UNION PACIFIC RR XING 177968V      ")</f>
        <v xml:space="preserve">UNION PACIFIC RR XING 177968V      </v>
      </c>
      <c r="N413">
        <v>0</v>
      </c>
      <c r="O413" t="str">
        <f t="shared" si="157"/>
        <v xml:space="preserve">          </v>
      </c>
      <c r="P413" t="str">
        <f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414" spans="1:16" x14ac:dyDescent="0.25">
      <c r="A414" t="str">
        <f t="shared" si="159"/>
        <v>10</v>
      </c>
      <c r="B414" t="str">
        <f t="shared" si="158"/>
        <v>21</v>
      </c>
      <c r="C414" s="1">
        <v>46035</v>
      </c>
      <c r="D414" t="str">
        <f>CLEAN("3665-00-70")</f>
        <v>3665-00-70</v>
      </c>
      <c r="E414" t="str">
        <f>CLEAN("205  ")</f>
        <v xml:space="preserve">205  </v>
      </c>
      <c r="F414" t="str">
        <f>CLEAN("$500,000 - $749,999      ")</f>
        <v xml:space="preserve">$500,000 - $749,999      </v>
      </c>
      <c r="G414" t="str">
        <f>CLEAN("LET")</f>
        <v>LET</v>
      </c>
      <c r="H414" t="str">
        <f>CLEAN("LET CONSTRUCTION         ")</f>
        <v xml:space="preserve">LET CONSTRUCTION         </v>
      </c>
      <c r="I414" t="str">
        <f>CLEAN("CONST OPS/BRIDGE REPLACEMENT       ")</f>
        <v xml:space="preserve">CONST OPS/BRIDGE REPLACEMENT       </v>
      </c>
      <c r="J414" t="str">
        <f>CLEAN("LOC STR")</f>
        <v>LOC STR</v>
      </c>
      <c r="K414" t="str">
        <f>CLEAN("DANE                          ")</f>
        <v xml:space="preserve">DANE                          </v>
      </c>
      <c r="L414" t="str">
        <f>CLEAN("TOWN BURKE, DAENTL ROAD            ")</f>
        <v xml:space="preserve">TOWN BURKE, DAENTL ROAD            </v>
      </c>
      <c r="M414" t="str">
        <f>CLEAN("TOKEN CREEK BRIDGE B-13-0912       ")</f>
        <v xml:space="preserve">TOKEN CREEK BRIDGE B-13-0912       </v>
      </c>
      <c r="N414">
        <v>0</v>
      </c>
      <c r="O414" t="str">
        <f t="shared" si="157"/>
        <v xml:space="preserve">          </v>
      </c>
      <c r="P414" t="str">
        <f>CLEAN("LOCAL BRIDGES                                                                                       ")</f>
        <v xml:space="preserve">LOCAL BRIDGES                                                                                       </v>
      </c>
    </row>
    <row r="415" spans="1:16" x14ac:dyDescent="0.25">
      <c r="A415" t="str">
        <f t="shared" si="159"/>
        <v>10</v>
      </c>
      <c r="B415" t="str">
        <f t="shared" si="158"/>
        <v>21</v>
      </c>
      <c r="C415" s="1">
        <v>46126</v>
      </c>
      <c r="D415" t="str">
        <f>CLEAN("3677-00-77")</f>
        <v>3677-00-77</v>
      </c>
      <c r="E415" t="str">
        <f>CLEAN("205  ")</f>
        <v xml:space="preserve">205  </v>
      </c>
      <c r="F415" t="str">
        <f>CLEAN("$750,000 - $999,999      ")</f>
        <v xml:space="preserve">$750,000 - $999,999      </v>
      </c>
      <c r="G415" t="str">
        <f>CLEAN("LET")</f>
        <v>LET</v>
      </c>
      <c r="H415" t="str">
        <f>CLEAN("LET CONSTRUCTION         ")</f>
        <v xml:space="preserve">LET CONSTRUCTION         </v>
      </c>
      <c r="I415" t="str">
        <f>CLEAN("CONST OPS/BRIDGE REPLACEMENT       ")</f>
        <v xml:space="preserve">CONST OPS/BRIDGE REPLACEMENT       </v>
      </c>
      <c r="J415" t="str">
        <f>CLEAN("CTH BB ")</f>
        <v xml:space="preserve">CTH BB </v>
      </c>
      <c r="K415" t="str">
        <f>CLEAN("DANE                          ")</f>
        <v xml:space="preserve">DANE                          </v>
      </c>
      <c r="L415" t="str">
        <f>CLEAN("CTH N - STH 73 (CTH BB)            ")</f>
        <v xml:space="preserve">CTH N - STH 73 (CTH BB)            </v>
      </c>
      <c r="M415" t="str">
        <f>CLEAN("KOSHKONONG CREEK BRIDGE B-13-0916  ")</f>
        <v xml:space="preserve">KOSHKONONG CREEK BRIDGE B-13-0916  </v>
      </c>
      <c r="N415">
        <v>0</v>
      </c>
      <c r="O415" t="str">
        <f>CLEAN("3679-00-73")</f>
        <v>3679-00-73</v>
      </c>
      <c r="P415" t="str">
        <f>CLEAN("LOCAL BRIDGES                                                                                       ")</f>
        <v xml:space="preserve">LOCAL BRIDGES                                                                                       </v>
      </c>
    </row>
    <row r="416" spans="1:16" x14ac:dyDescent="0.25">
      <c r="A416" t="str">
        <f t="shared" si="159"/>
        <v>10</v>
      </c>
      <c r="B416" t="str">
        <f t="shared" si="158"/>
        <v>21</v>
      </c>
      <c r="C416" s="1">
        <v>46126</v>
      </c>
      <c r="D416" t="str">
        <f>CLEAN("3679-00-73")</f>
        <v>3679-00-73</v>
      </c>
      <c r="E416" t="str">
        <f>CLEAN("205  ")</f>
        <v xml:space="preserve">205  </v>
      </c>
      <c r="F416" t="str">
        <f>CLEAN("$1,000,000 - $1,999,999  ")</f>
        <v xml:space="preserve">$1,000,000 - $1,999,999  </v>
      </c>
      <c r="G416" t="str">
        <f>CLEAN("LET")</f>
        <v>LET</v>
      </c>
      <c r="H416" t="str">
        <f>CLEAN("LET CONSTRUCTION         ")</f>
        <v xml:space="preserve">LET CONSTRUCTION         </v>
      </c>
      <c r="I416" t="str">
        <f>CLEAN("CONST OPS/BRIDGE REPLACEMENT       ")</f>
        <v xml:space="preserve">CONST OPS/BRIDGE REPLACEMENT       </v>
      </c>
      <c r="J416" t="str">
        <f>CLEAN("CTH N  ")</f>
        <v xml:space="preserve">CTH N  </v>
      </c>
      <c r="K416" t="str">
        <f>CLEAN("DANE                          ")</f>
        <v xml:space="preserve">DANE                          </v>
      </c>
      <c r="L416" t="str">
        <f>CLEAN("CTH TT - CTH T (CTH N)             ")</f>
        <v xml:space="preserve">CTH TT - CTH T (CTH N)             </v>
      </c>
      <c r="M416" t="str">
        <f>CLEAN("KOSHKONONG CREEK BRIDGE B-13-0911  ")</f>
        <v xml:space="preserve">KOSHKONONG CREEK BRIDGE B-13-0911  </v>
      </c>
      <c r="N416">
        <v>0</v>
      </c>
      <c r="O416" t="str">
        <f>CLEAN("3677-00-77")</f>
        <v>3677-00-77</v>
      </c>
      <c r="P416" t="str">
        <f>CLEAN("LOCAL BRIDGES                                                                                       ")</f>
        <v xml:space="preserve">LOCAL BRIDGES                                                                                       </v>
      </c>
    </row>
    <row r="417" spans="1:16" x14ac:dyDescent="0.25">
      <c r="A417" t="str">
        <f t="shared" si="159"/>
        <v>10</v>
      </c>
      <c r="B417" t="str">
        <f t="shared" si="158"/>
        <v>21</v>
      </c>
      <c r="C417" s="1">
        <v>46063</v>
      </c>
      <c r="D417" t="str">
        <f>CLEAN("3686-00-70")</f>
        <v>3686-00-70</v>
      </c>
      <c r="E417" t="str">
        <f>CLEAN("205  ")</f>
        <v xml:space="preserve">205  </v>
      </c>
      <c r="F417" t="str">
        <f>CLEAN("$1,000,000 - $1,999,999  ")</f>
        <v xml:space="preserve">$1,000,000 - $1,999,999  </v>
      </c>
      <c r="G417" t="str">
        <f>CLEAN("LET")</f>
        <v>LET</v>
      </c>
      <c r="H417" t="str">
        <f>CLEAN("LET CONSTRUCTION         ")</f>
        <v xml:space="preserve">LET CONSTRUCTION         </v>
      </c>
      <c r="I417" t="str">
        <f>CLEAN("CONST OPS/BRIDGE REPLACEMENT       ")</f>
        <v xml:space="preserve">CONST OPS/BRIDGE REPLACEMENT       </v>
      </c>
      <c r="J417" t="str">
        <f>CLEAN("LOC STR")</f>
        <v>LOC STR</v>
      </c>
      <c r="K417" t="str">
        <f>CLEAN("DANE                          ")</f>
        <v xml:space="preserve">DANE                          </v>
      </c>
      <c r="L417" t="str">
        <f>CLEAN("STH 73 - USH 12 (CTH PQ)           ")</f>
        <v xml:space="preserve">STH 73 - USH 12 (CTH PQ)           </v>
      </c>
      <c r="M417" t="str">
        <f>CLEAN("KOSHKONONG CREEK BRIDGE B-13-0910  ")</f>
        <v xml:space="preserve">KOSHKONONG CREEK BRIDGE B-13-0910  </v>
      </c>
      <c r="N417">
        <v>0</v>
      </c>
      <c r="O417" t="str">
        <f t="shared" ref="O417:O448" si="160">CLEAN("          ")</f>
        <v xml:space="preserve">          </v>
      </c>
      <c r="P417" t="str">
        <f>CLEAN("LOCAL BRIDGES                                                                                       ")</f>
        <v xml:space="preserve">LOCAL BRIDGES                                                                                       </v>
      </c>
    </row>
    <row r="418" spans="1:16" x14ac:dyDescent="0.25">
      <c r="A418" t="str">
        <f t="shared" si="159"/>
        <v>10</v>
      </c>
      <c r="B418" t="str">
        <f>CLEAN("22")</f>
        <v>22</v>
      </c>
      <c r="C418" s="1">
        <v>45925</v>
      </c>
      <c r="D418" t="str">
        <f>CLEAN("3700-00-71")</f>
        <v>3700-00-71</v>
      </c>
      <c r="E418" t="str">
        <f t="shared" ref="E418:E457" si="161">CLEAN("305  ")</f>
        <v xml:space="preserve">305  </v>
      </c>
      <c r="F418" t="str">
        <f>CLEAN("$500,000 - $749,999      ")</f>
        <v xml:space="preserve">$500,000 - $749,999      </v>
      </c>
      <c r="G418" t="str">
        <f t="shared" ref="G418:G457" si="162">CLEAN("MIS")</f>
        <v>MIS</v>
      </c>
      <c r="H418" t="str">
        <f t="shared" ref="H418:H458" si="163">CLEAN("NONLET CONSTR/REAL ESTATE")</f>
        <v>NONLET CONSTR/REAL ESTATE</v>
      </c>
      <c r="I418" t="str">
        <f>CLEAN("CONST/STAND ALONE PROJ ID SE2302L  ")</f>
        <v xml:space="preserve">CONST/STAND ALONE PROJ ID SE2302L  </v>
      </c>
      <c r="J418" t="str">
        <f>CLEAN("STH 032")</f>
        <v>STH 032</v>
      </c>
      <c r="K418" t="str">
        <f>CLEAN("MILWAUKEE                     ")</f>
        <v xml:space="preserve">MILWAUKEE                     </v>
      </c>
      <c r="L418" t="str">
        <f>CLEAN("VILLAGE OF WHITEFISH BAY-LAKE DR   ")</f>
        <v xml:space="preserve">VILLAGE OF WHITEFISH BAY-LAKE DR   </v>
      </c>
      <c r="M418" t="str">
        <f>CLEAN("INTERSECT SILVERSPRING/MARLBOROUGH ")</f>
        <v xml:space="preserve">INTERSECT SILVERSPRING/MARLBOROUGH </v>
      </c>
      <c r="N418">
        <v>0.01</v>
      </c>
      <c r="O418" t="str">
        <f t="shared" si="160"/>
        <v xml:space="preserve">          </v>
      </c>
      <c r="P418" t="str">
        <f t="shared" ref="P418:P457" si="164">CLEAN("INTELLIGENT TRANSPORTATION SYSTEMS (ITS)                                                            ")</f>
        <v xml:space="preserve">INTELLIGENT TRANSPORTATION SYSTEMS (ITS)                                                            </v>
      </c>
    </row>
    <row r="419" spans="1:16" x14ac:dyDescent="0.25">
      <c r="A419" t="str">
        <f t="shared" si="159"/>
        <v>10</v>
      </c>
      <c r="B419" t="str">
        <f>CLEAN("22")</f>
        <v>22</v>
      </c>
      <c r="C419" s="1">
        <v>45894</v>
      </c>
      <c r="D419" t="str">
        <f>CLEAN("3700-08-91")</f>
        <v>3700-08-91</v>
      </c>
      <c r="E419" t="str">
        <f t="shared" si="161"/>
        <v xml:space="preserve">305  </v>
      </c>
      <c r="F419" t="str">
        <f>CLEAN("$250,000 - $499,999      ")</f>
        <v xml:space="preserve">$250,000 - $499,999      </v>
      </c>
      <c r="G419" t="str">
        <f t="shared" si="162"/>
        <v>MIS</v>
      </c>
      <c r="H419" t="str">
        <f t="shared" si="163"/>
        <v>NONLET CONSTR/REAL ESTATE</v>
      </c>
      <c r="I419" t="str">
        <f>CLEAN("PROCUREMENT/SISP SE2301            ")</f>
        <v xml:space="preserve">PROCUREMENT/SISP SE2301            </v>
      </c>
      <c r="J419" t="str">
        <f>CLEAN("VAR HWY")</f>
        <v>VAR HWY</v>
      </c>
      <c r="K419" t="str">
        <f>CLEAN("WAUKESHA                      ")</f>
        <v xml:space="preserve">WAUKESHA                      </v>
      </c>
      <c r="L419" t="str">
        <f>CLEAN("WAUKESHA/OCONOMOWOC SIGNAL COMM    ")</f>
        <v xml:space="preserve">WAUKESHA/OCONOMOWOC SIGNAL COMM    </v>
      </c>
      <c r="M419" t="str">
        <f>CLEAN("USH 18 AND STH 67                  ")</f>
        <v xml:space="preserve">USH 18 AND STH 67                  </v>
      </c>
      <c r="N419">
        <v>0</v>
      </c>
      <c r="O419" t="str">
        <f t="shared" si="160"/>
        <v xml:space="preserve">          </v>
      </c>
      <c r="P419" t="str">
        <f t="shared" si="164"/>
        <v xml:space="preserve">INTELLIGENT TRANSPORTATION SYSTEMS (ITS)                                                            </v>
      </c>
    </row>
    <row r="420" spans="1:16" x14ac:dyDescent="0.25">
      <c r="A420" t="str">
        <f t="shared" si="159"/>
        <v>10</v>
      </c>
      <c r="B420" t="str">
        <f t="shared" ref="B420:B438" si="165">CLEAN("21")</f>
        <v>21</v>
      </c>
      <c r="C420" s="1">
        <v>45894</v>
      </c>
      <c r="D420" t="str">
        <f>CLEAN("3700-10-61")</f>
        <v>3700-10-61</v>
      </c>
      <c r="E420" t="str">
        <f t="shared" si="161"/>
        <v xml:space="preserve">305  </v>
      </c>
      <c r="F420" t="str">
        <f>CLEAN("$0 - $99,999             ")</f>
        <v xml:space="preserve">$0 - $99,999             </v>
      </c>
      <c r="G420" t="str">
        <f t="shared" si="162"/>
        <v>MIS</v>
      </c>
      <c r="H420" t="str">
        <f t="shared" si="163"/>
        <v>NONLET CONSTR/REAL ESTATE</v>
      </c>
      <c r="I420" t="str">
        <f>CLEAN("TRF/SIGNAL REHAB CONTROLLERS/TOSIG ")</f>
        <v xml:space="preserve">TRF/SIGNAL REHAB CONTROLLERS/TOSIG </v>
      </c>
      <c r="J420" t="str">
        <f>CLEAN("VAR HWY")</f>
        <v>VAR HWY</v>
      </c>
      <c r="K420" t="str">
        <f>CLEAN("SOUTHWEST REGION WIDE         ")</f>
        <v xml:space="preserve">SOUTHWEST REGION WIDE         </v>
      </c>
      <c r="L420" t="str">
        <f>CLEAN("SW REGION TRAFFIC OPS              ")</f>
        <v xml:space="preserve">SW REGION TRAFFIC OPS              </v>
      </c>
      <c r="M420" t="str">
        <f>CLEAN("VARIOUS REGIONWIDE LOCATIONS       ")</f>
        <v xml:space="preserve">VARIOUS REGIONWIDE LOCATIONS       </v>
      </c>
      <c r="N420">
        <v>0</v>
      </c>
      <c r="O420" t="str">
        <f t="shared" si="160"/>
        <v xml:space="preserve">          </v>
      </c>
      <c r="P420" t="str">
        <f t="shared" si="164"/>
        <v xml:space="preserve">INTELLIGENT TRANSPORTATION SYSTEMS (ITS)                                                            </v>
      </c>
    </row>
    <row r="421" spans="1:16" x14ac:dyDescent="0.25">
      <c r="A421" t="str">
        <f t="shared" si="159"/>
        <v>10</v>
      </c>
      <c r="B421" t="str">
        <f t="shared" si="165"/>
        <v>21</v>
      </c>
      <c r="C421" s="1">
        <v>46228</v>
      </c>
      <c r="D421" t="str">
        <f>CLEAN("3700-10-61")</f>
        <v>3700-10-61</v>
      </c>
      <c r="E421" t="str">
        <f t="shared" si="161"/>
        <v xml:space="preserve">305  </v>
      </c>
      <c r="F421" t="str">
        <f>CLEAN("$0 - $99,999             ")</f>
        <v xml:space="preserve">$0 - $99,999             </v>
      </c>
      <c r="G421" t="str">
        <f t="shared" si="162"/>
        <v>MIS</v>
      </c>
      <c r="H421" t="str">
        <f t="shared" si="163"/>
        <v>NONLET CONSTR/REAL ESTATE</v>
      </c>
      <c r="I421" t="str">
        <f>CLEAN("TRF/SIGNAL REHAB CONTROLLERS/TOSIG ")</f>
        <v xml:space="preserve">TRF/SIGNAL REHAB CONTROLLERS/TOSIG </v>
      </c>
      <c r="J421" t="str">
        <f>CLEAN("VAR HWY")</f>
        <v>VAR HWY</v>
      </c>
      <c r="K421" t="str">
        <f>CLEAN("SOUTHWEST REGION WIDE         ")</f>
        <v xml:space="preserve">SOUTHWEST REGION WIDE         </v>
      </c>
      <c r="L421" t="str">
        <f>CLEAN("SW REGION TRAFFIC OPS              ")</f>
        <v xml:space="preserve">SW REGION TRAFFIC OPS              </v>
      </c>
      <c r="M421" t="str">
        <f>CLEAN("VARIOUS REGIONWIDE LOCATIONS       ")</f>
        <v xml:space="preserve">VARIOUS REGIONWIDE LOCATIONS       </v>
      </c>
      <c r="N421">
        <v>0</v>
      </c>
      <c r="O421" t="str">
        <f t="shared" si="160"/>
        <v xml:space="preserve">          </v>
      </c>
      <c r="P421" t="str">
        <f t="shared" si="164"/>
        <v xml:space="preserve">INTELLIGENT TRANSPORTATION SYSTEMS (ITS)                                                            </v>
      </c>
    </row>
    <row r="422" spans="1:16" x14ac:dyDescent="0.25">
      <c r="A422" t="str">
        <f t="shared" si="159"/>
        <v>10</v>
      </c>
      <c r="B422" t="str">
        <f t="shared" si="165"/>
        <v>21</v>
      </c>
      <c r="C422" s="1">
        <v>45894</v>
      </c>
      <c r="D422" t="str">
        <f>CLEAN("3700-10-68")</f>
        <v>3700-10-68</v>
      </c>
      <c r="E422" t="str">
        <f t="shared" si="161"/>
        <v xml:space="preserve">305  </v>
      </c>
      <c r="F422" t="str">
        <f>CLEAN("$250,000 - $499,999      ")</f>
        <v xml:space="preserve">$250,000 - $499,999      </v>
      </c>
      <c r="G422" t="str">
        <f t="shared" si="162"/>
        <v>MIS</v>
      </c>
      <c r="H422" t="str">
        <f t="shared" si="163"/>
        <v>NONLET CONSTR/REAL ESTATE</v>
      </c>
      <c r="I422" t="str">
        <f>CLEAN("TRF/ CONST SIGNAL REHAB FY24/ TOSIG")</f>
        <v>TRF/ CONST SIGNAL REHAB FY24/ TOSIG</v>
      </c>
      <c r="J422" t="str">
        <f>CLEAN("STH 019")</f>
        <v>STH 019</v>
      </c>
      <c r="K422" t="str">
        <f>CLEAN("DANE                          ")</f>
        <v xml:space="preserve">DANE                          </v>
      </c>
      <c r="L422" t="str">
        <f>CLEAN("CITY OF SUN PRAIRIE                ")</f>
        <v xml:space="preserve">CITY OF SUN PRAIRIE                </v>
      </c>
      <c r="M422" t="str">
        <f>CLEAN("WINDSOR ST - BIRD ST INTERSECTION  ")</f>
        <v xml:space="preserve">WINDSOR ST - BIRD ST INTERSECTION  </v>
      </c>
      <c r="N422">
        <v>0.04</v>
      </c>
      <c r="O422" t="str">
        <f t="shared" si="160"/>
        <v xml:space="preserve">          </v>
      </c>
      <c r="P422" t="str">
        <f t="shared" si="164"/>
        <v xml:space="preserve">INTELLIGENT TRANSPORTATION SYSTEMS (ITS)                                                            </v>
      </c>
    </row>
    <row r="423" spans="1:16" x14ac:dyDescent="0.25">
      <c r="A423" t="str">
        <f t="shared" si="159"/>
        <v>10</v>
      </c>
      <c r="B423" t="str">
        <f t="shared" si="165"/>
        <v>21</v>
      </c>
      <c r="C423" s="1">
        <v>46228</v>
      </c>
      <c r="D423" t="str">
        <f>CLEAN("3700-10-99")</f>
        <v>3700-10-99</v>
      </c>
      <c r="E423" t="str">
        <f t="shared" si="161"/>
        <v xml:space="preserve">305  </v>
      </c>
      <c r="F423" t="str">
        <f>CLEAN("$250,000 - $499,999      ")</f>
        <v xml:space="preserve">$250,000 - $499,999      </v>
      </c>
      <c r="G423" t="str">
        <f t="shared" si="162"/>
        <v>MIS</v>
      </c>
      <c r="H423" t="str">
        <f t="shared" si="163"/>
        <v>NONLET CONSTR/REAL ESTATE</v>
      </c>
      <c r="I423" t="str">
        <f>CLEAN("TRF OPS/SIGNAL CABINET REPLACEMENTS")</f>
        <v>TRF OPS/SIGNAL CABINET REPLACEMENTS</v>
      </c>
      <c r="J423" t="str">
        <f>CLEAN("VAR HWY")</f>
        <v>VAR HWY</v>
      </c>
      <c r="K423" t="str">
        <f>CLEAN("SOUTHWEST REGION WIDE         ")</f>
        <v xml:space="preserve">SOUTHWEST REGION WIDE         </v>
      </c>
      <c r="L423" t="str">
        <f>CLEAN("SW REGION TRAFFIC OPS              ")</f>
        <v xml:space="preserve">SW REGION TRAFFIC OPS              </v>
      </c>
      <c r="M423" t="str">
        <f>CLEAN("VARIOUS REGIONWIDE LOCATIONS       ")</f>
        <v xml:space="preserve">VARIOUS REGIONWIDE LOCATIONS       </v>
      </c>
      <c r="N423">
        <v>0</v>
      </c>
      <c r="O423" t="str">
        <f t="shared" si="160"/>
        <v xml:space="preserve">          </v>
      </c>
      <c r="P423" t="str">
        <f t="shared" si="164"/>
        <v xml:space="preserve">INTELLIGENT TRANSPORTATION SYSTEMS (ITS)                                                            </v>
      </c>
    </row>
    <row r="424" spans="1:16" x14ac:dyDescent="0.25">
      <c r="A424" t="str">
        <f t="shared" si="159"/>
        <v>10</v>
      </c>
      <c r="B424" t="str">
        <f t="shared" si="165"/>
        <v>21</v>
      </c>
      <c r="C424" s="1">
        <v>45894</v>
      </c>
      <c r="D424" t="str">
        <f>CLEAN("3700-11-60")</f>
        <v>3700-11-60</v>
      </c>
      <c r="E424" t="str">
        <f t="shared" si="161"/>
        <v xml:space="preserve">305  </v>
      </c>
      <c r="F424" t="str">
        <f>CLEAN("$100,000-$249,999        ")</f>
        <v xml:space="preserve">$100,000-$249,999        </v>
      </c>
      <c r="G424" t="str">
        <f t="shared" si="162"/>
        <v>MIS</v>
      </c>
      <c r="H424" t="str">
        <f t="shared" si="163"/>
        <v>NONLET CONSTR/REAL ESTATE</v>
      </c>
      <c r="I424" t="str">
        <f>CLEAN("TRF OPS/SIGNAL REHAB GRIDSMART     ")</f>
        <v xml:space="preserve">TRF OPS/SIGNAL REHAB GRIDSMART     </v>
      </c>
      <c r="J424" t="str">
        <f>CLEAN("VAR HWY")</f>
        <v>VAR HWY</v>
      </c>
      <c r="K424" t="str">
        <f>CLEAN("LA CROSSE                     ")</f>
        <v xml:space="preserve">LA CROSSE                     </v>
      </c>
      <c r="L424" t="str">
        <f>CLEAN("CITY OF LA CROSSE                  ")</f>
        <v xml:space="preserve">CITY OF LA CROSSE                  </v>
      </c>
      <c r="M424" t="str">
        <f>CLEAN("VARIOUS HWYS/INTERSECTIONS         ")</f>
        <v xml:space="preserve">VARIOUS HWYS/INTERSECTIONS         </v>
      </c>
      <c r="N424">
        <v>0</v>
      </c>
      <c r="O424" t="str">
        <f t="shared" si="160"/>
        <v xml:space="preserve">          </v>
      </c>
      <c r="P424" t="str">
        <f t="shared" si="164"/>
        <v xml:space="preserve">INTELLIGENT TRANSPORTATION SYSTEMS (ITS)                                                            </v>
      </c>
    </row>
    <row r="425" spans="1:16" x14ac:dyDescent="0.25">
      <c r="A425" t="str">
        <f t="shared" si="159"/>
        <v>10</v>
      </c>
      <c r="B425" t="str">
        <f t="shared" si="165"/>
        <v>21</v>
      </c>
      <c r="C425" s="1">
        <v>45894</v>
      </c>
      <c r="D425" t="str">
        <f>CLEAN("3700-11-61")</f>
        <v>3700-11-61</v>
      </c>
      <c r="E425" t="str">
        <f t="shared" si="161"/>
        <v xml:space="preserve">305  </v>
      </c>
      <c r="F425" t="str">
        <f>CLEAN("$0 - $99,999             ")</f>
        <v xml:space="preserve">$0 - $99,999             </v>
      </c>
      <c r="G425" t="str">
        <f t="shared" si="162"/>
        <v>MIS</v>
      </c>
      <c r="H425" t="str">
        <f t="shared" si="163"/>
        <v>NONLET CONSTR/REAL ESTATE</v>
      </c>
      <c r="I425" t="str">
        <f>CLEAN("TRF/ DES SIGNAL RETROFIT /TOSIG    ")</f>
        <v xml:space="preserve">TRF/ DES SIGNAL RETROFIT /TOSIG    </v>
      </c>
      <c r="J425" t="str">
        <f>CLEAN("STH 080")</f>
        <v>STH 080</v>
      </c>
      <c r="K425" t="str">
        <f>CLEAN("GRANT                         ")</f>
        <v xml:space="preserve">GRANT                         </v>
      </c>
      <c r="L425" t="str">
        <f>CLEAN("CITY OF PLATTEVILLE                ")</f>
        <v xml:space="preserve">CITY OF PLATTEVILLE                </v>
      </c>
      <c r="M425" t="str">
        <f>CLEAN("STH 80/WATER ST &amp; STH 81/PINE ST   ")</f>
        <v xml:space="preserve">STH 80/WATER ST &amp; STH 81/PINE ST   </v>
      </c>
      <c r="N425">
        <v>0.02</v>
      </c>
      <c r="O425" t="str">
        <f t="shared" si="160"/>
        <v xml:space="preserve">          </v>
      </c>
      <c r="P425" t="str">
        <f t="shared" si="164"/>
        <v xml:space="preserve">INTELLIGENT TRANSPORTATION SYSTEMS (ITS)                                                            </v>
      </c>
    </row>
    <row r="426" spans="1:16" x14ac:dyDescent="0.25">
      <c r="A426" t="str">
        <f t="shared" si="159"/>
        <v>10</v>
      </c>
      <c r="B426" t="str">
        <f t="shared" si="165"/>
        <v>21</v>
      </c>
      <c r="C426" s="1">
        <v>46228</v>
      </c>
      <c r="D426" t="str">
        <f>CLEAN("3700-11-62")</f>
        <v>3700-11-62</v>
      </c>
      <c r="E426" t="str">
        <f t="shared" si="161"/>
        <v xml:space="preserve">305  </v>
      </c>
      <c r="F426" t="str">
        <f>CLEAN("$0 - $99,999             ")</f>
        <v xml:space="preserve">$0 - $99,999             </v>
      </c>
      <c r="G426" t="str">
        <f t="shared" si="162"/>
        <v>MIS</v>
      </c>
      <c r="H426" t="str">
        <f t="shared" si="163"/>
        <v>NONLET CONSTR/REAL ESTATE</v>
      </c>
      <c r="I426" t="str">
        <f>CLEAN("TRF/ RE TLE SIGNAL RETROFIT /TOSIG ")</f>
        <v xml:space="preserve">TRF/ RE TLE SIGNAL RETROFIT /TOSIG </v>
      </c>
      <c r="J426" t="str">
        <f>CLEAN("STH 080")</f>
        <v>STH 080</v>
      </c>
      <c r="K426" t="str">
        <f>CLEAN("GRANT                         ")</f>
        <v xml:space="preserve">GRANT                         </v>
      </c>
      <c r="L426" t="str">
        <f>CLEAN("CITY OF PLATTEVILLE                ")</f>
        <v xml:space="preserve">CITY OF PLATTEVILLE                </v>
      </c>
      <c r="M426" t="str">
        <f>CLEAN("STH 80/WATER ST &amp; STH 81/PINE ST   ")</f>
        <v xml:space="preserve">STH 80/WATER ST &amp; STH 81/PINE ST   </v>
      </c>
      <c r="N426">
        <v>0.02</v>
      </c>
      <c r="O426" t="str">
        <f t="shared" si="160"/>
        <v xml:space="preserve">          </v>
      </c>
      <c r="P426" t="str">
        <f t="shared" si="164"/>
        <v xml:space="preserve">INTELLIGENT TRANSPORTATION SYSTEMS (ITS)                                                            </v>
      </c>
    </row>
    <row r="427" spans="1:16" x14ac:dyDescent="0.25">
      <c r="A427" t="str">
        <f t="shared" si="159"/>
        <v>10</v>
      </c>
      <c r="B427" t="str">
        <f t="shared" si="165"/>
        <v>21</v>
      </c>
      <c r="C427" s="1">
        <v>45894</v>
      </c>
      <c r="D427" t="str">
        <f>CLEAN("3700-11-64")</f>
        <v>3700-11-64</v>
      </c>
      <c r="E427" t="str">
        <f t="shared" si="161"/>
        <v xml:space="preserve">305  </v>
      </c>
      <c r="F427" t="str">
        <f>CLEAN("$250,000 - $499,999      ")</f>
        <v xml:space="preserve">$250,000 - $499,999      </v>
      </c>
      <c r="G427" t="str">
        <f t="shared" si="162"/>
        <v>MIS</v>
      </c>
      <c r="H427" t="str">
        <f t="shared" si="163"/>
        <v>NONLET CONSTR/REAL ESTATE</v>
      </c>
      <c r="I427" t="str">
        <f>CLEAN("TRF OPS/SIGNAL REHAB/TOSIG         ")</f>
        <v xml:space="preserve">TRF OPS/SIGNAL REHAB/TOSIG         </v>
      </c>
      <c r="J427" t="str">
        <f>CLEAN("USH 014")</f>
        <v>USH 014</v>
      </c>
      <c r="K427" t="str">
        <f>CLEAN("LA CROSSE                     ")</f>
        <v xml:space="preserve">LA CROSSE                     </v>
      </c>
      <c r="L427" t="str">
        <f>CLEAN("CITY OF LA CROSSE                  ")</f>
        <v xml:space="preserve">CITY OF LA CROSSE                  </v>
      </c>
      <c r="M427" t="str">
        <f>CLEAN("LOSEY BLVD &amp; MORMON COULEE RD      ")</f>
        <v xml:space="preserve">LOSEY BLVD &amp; MORMON COULEE RD      </v>
      </c>
      <c r="N427">
        <v>0</v>
      </c>
      <c r="O427" t="str">
        <f t="shared" si="160"/>
        <v xml:space="preserve">          </v>
      </c>
      <c r="P427" t="str">
        <f t="shared" si="164"/>
        <v xml:space="preserve">INTELLIGENT TRANSPORTATION SYSTEMS (ITS)                                                            </v>
      </c>
    </row>
    <row r="428" spans="1:16" x14ac:dyDescent="0.25">
      <c r="A428" t="str">
        <f t="shared" si="159"/>
        <v>10</v>
      </c>
      <c r="B428" t="str">
        <f t="shared" si="165"/>
        <v>21</v>
      </c>
      <c r="C428" s="1">
        <v>45894</v>
      </c>
      <c r="D428" t="str">
        <f>CLEAN("3700-11-65")</f>
        <v>3700-11-65</v>
      </c>
      <c r="E428" t="str">
        <f t="shared" si="161"/>
        <v xml:space="preserve">305  </v>
      </c>
      <c r="F428" t="str">
        <f>CLEAN("$100,000-$249,999        ")</f>
        <v xml:space="preserve">$100,000-$249,999        </v>
      </c>
      <c r="G428" t="str">
        <f t="shared" si="162"/>
        <v>MIS</v>
      </c>
      <c r="H428" t="str">
        <f t="shared" si="163"/>
        <v>NONLET CONSTR/REAL ESTATE</v>
      </c>
      <c r="I428" t="str">
        <f>CLEAN("TRF OPS/SIGNAL RETROFIT/TOSIG      ")</f>
        <v xml:space="preserve">TRF OPS/SIGNAL RETROFIT/TOSIG      </v>
      </c>
      <c r="J428" t="str">
        <f>CLEAN("VAR HWY")</f>
        <v>VAR HWY</v>
      </c>
      <c r="K428" t="str">
        <f>CLEAN("LA CROSSE                     ")</f>
        <v xml:space="preserve">LA CROSSE                     </v>
      </c>
      <c r="L428" t="str">
        <f>CLEAN("CITY OF LA CROSSE                  ")</f>
        <v xml:space="preserve">CITY OF LA CROSSE                  </v>
      </c>
      <c r="M428" t="str">
        <f>CLEAN("VARIOUS HWYS/INTERSECTIONS         ")</f>
        <v xml:space="preserve">VARIOUS HWYS/INTERSECTIONS         </v>
      </c>
      <c r="N428">
        <v>0</v>
      </c>
      <c r="O428" t="str">
        <f t="shared" si="160"/>
        <v xml:space="preserve">          </v>
      </c>
      <c r="P428" t="str">
        <f t="shared" si="164"/>
        <v xml:space="preserve">INTELLIGENT TRANSPORTATION SYSTEMS (ITS)                                                            </v>
      </c>
    </row>
    <row r="429" spans="1:16" x14ac:dyDescent="0.25">
      <c r="A429" t="str">
        <f t="shared" si="159"/>
        <v>10</v>
      </c>
      <c r="B429" t="str">
        <f t="shared" si="165"/>
        <v>21</v>
      </c>
      <c r="C429" s="1">
        <v>46259</v>
      </c>
      <c r="D429" t="str">
        <f>CLEAN("3700-11-65")</f>
        <v>3700-11-65</v>
      </c>
      <c r="E429" t="str">
        <f t="shared" si="161"/>
        <v xml:space="preserve">305  </v>
      </c>
      <c r="F429" t="str">
        <f>CLEAN("$250,000 - $499,999      ")</f>
        <v xml:space="preserve">$250,000 - $499,999      </v>
      </c>
      <c r="G429" t="str">
        <f t="shared" si="162"/>
        <v>MIS</v>
      </c>
      <c r="H429" t="str">
        <f t="shared" si="163"/>
        <v>NONLET CONSTR/REAL ESTATE</v>
      </c>
      <c r="I429" t="str">
        <f>CLEAN("TRF OPS/SIGNAL RETROFIT/TOSIG      ")</f>
        <v xml:space="preserve">TRF OPS/SIGNAL RETROFIT/TOSIG      </v>
      </c>
      <c r="J429" t="str">
        <f>CLEAN("VAR HWY")</f>
        <v>VAR HWY</v>
      </c>
      <c r="K429" t="str">
        <f>CLEAN("LA CROSSE                     ")</f>
        <v xml:space="preserve">LA CROSSE                     </v>
      </c>
      <c r="L429" t="str">
        <f>CLEAN("CITY OF LA CROSSE                  ")</f>
        <v xml:space="preserve">CITY OF LA CROSSE                  </v>
      </c>
      <c r="M429" t="str">
        <f>CLEAN("VARIOUS HWYS/INTERSECTIONS         ")</f>
        <v xml:space="preserve">VARIOUS HWYS/INTERSECTIONS         </v>
      </c>
      <c r="N429">
        <v>0</v>
      </c>
      <c r="O429" t="str">
        <f t="shared" si="160"/>
        <v xml:space="preserve">          </v>
      </c>
      <c r="P429" t="str">
        <f t="shared" si="164"/>
        <v xml:space="preserve">INTELLIGENT TRANSPORTATION SYSTEMS (ITS)                                                            </v>
      </c>
    </row>
    <row r="430" spans="1:16" x14ac:dyDescent="0.25">
      <c r="A430" t="str">
        <f t="shared" si="159"/>
        <v>10</v>
      </c>
      <c r="B430" t="str">
        <f t="shared" si="165"/>
        <v>21</v>
      </c>
      <c r="C430" s="1">
        <v>45894</v>
      </c>
      <c r="D430" t="str">
        <f>CLEAN("3700-11-66")</f>
        <v>3700-11-66</v>
      </c>
      <c r="E430" t="str">
        <f t="shared" si="161"/>
        <v xml:space="preserve">305  </v>
      </c>
      <c r="F430" t="str">
        <f>CLEAN("$100,000-$249,999        ")</f>
        <v xml:space="preserve">$100,000-$249,999        </v>
      </c>
      <c r="G430" t="str">
        <f t="shared" si="162"/>
        <v>MIS</v>
      </c>
      <c r="H430" t="str">
        <f t="shared" si="163"/>
        <v>NONLET CONSTR/REAL ESTATE</v>
      </c>
      <c r="I430" t="str">
        <f>CLEAN("TRF OPS/SIGNAL REHABILITATION/TOSIG")</f>
        <v>TRF OPS/SIGNAL REHABILITATION/TOSIG</v>
      </c>
      <c r="J430" t="str">
        <f>CLEAN("VAR HWY")</f>
        <v>VAR HWY</v>
      </c>
      <c r="K430" t="str">
        <f>CLEAN("LA CROSSE                     ")</f>
        <v xml:space="preserve">LA CROSSE                     </v>
      </c>
      <c r="L430" t="str">
        <f>CLEAN("CITY OF LA CROSSE                  ")</f>
        <v xml:space="preserve">CITY OF LA CROSSE                  </v>
      </c>
      <c r="M430" t="str">
        <f>CLEAN("VARIOUS HWYS/INTERSECTIONS         ")</f>
        <v xml:space="preserve">VARIOUS HWYS/INTERSECTIONS         </v>
      </c>
      <c r="N430">
        <v>0</v>
      </c>
      <c r="O430" t="str">
        <f t="shared" si="160"/>
        <v xml:space="preserve">          </v>
      </c>
      <c r="P430" t="str">
        <f t="shared" si="164"/>
        <v xml:space="preserve">INTELLIGENT TRANSPORTATION SYSTEMS (ITS)                                                            </v>
      </c>
    </row>
    <row r="431" spans="1:16" x14ac:dyDescent="0.25">
      <c r="A431" t="str">
        <f t="shared" si="159"/>
        <v>10</v>
      </c>
      <c r="B431" t="str">
        <f t="shared" si="165"/>
        <v>21</v>
      </c>
      <c r="C431" s="1">
        <v>45894</v>
      </c>
      <c r="D431" t="str">
        <f>CLEAN("3700-11-67")</f>
        <v>3700-11-67</v>
      </c>
      <c r="E431" t="str">
        <f t="shared" si="161"/>
        <v xml:space="preserve">305  </v>
      </c>
      <c r="F431" t="str">
        <f>CLEAN("$0 - $99,999             ")</f>
        <v xml:space="preserve">$0 - $99,999             </v>
      </c>
      <c r="G431" t="str">
        <f t="shared" si="162"/>
        <v>MIS</v>
      </c>
      <c r="H431" t="str">
        <f t="shared" si="163"/>
        <v>NONLET CONSTR/REAL ESTATE</v>
      </c>
      <c r="I431" t="str">
        <f>CLEAN("TRF/ DES SIGNAL RETROFIT/ TOSIG    ")</f>
        <v xml:space="preserve">TRF/ DES SIGNAL RETROFIT/ TOSIG    </v>
      </c>
      <c r="J431" t="str">
        <f>CLEAN("STH 033")</f>
        <v>STH 033</v>
      </c>
      <c r="K431" t="str">
        <f>CLEAN("DODGE                         ")</f>
        <v xml:space="preserve">DODGE                         </v>
      </c>
      <c r="L431" t="str">
        <f>CLEAN("CITY OF BEAVER DAM                 ")</f>
        <v xml:space="preserve">CITY OF BEAVER DAM                 </v>
      </c>
      <c r="M431" t="str">
        <f>CLEAN("PARK AVE/UNIVERSITY AVE INTERS     ")</f>
        <v xml:space="preserve">PARK AVE/UNIVERSITY AVE INTERS     </v>
      </c>
      <c r="N431">
        <v>1.6E-2</v>
      </c>
      <c r="O431" t="str">
        <f t="shared" si="160"/>
        <v xml:space="preserve">          </v>
      </c>
      <c r="P431" t="str">
        <f t="shared" si="164"/>
        <v xml:space="preserve">INTELLIGENT TRANSPORTATION SYSTEMS (ITS)                                                            </v>
      </c>
    </row>
    <row r="432" spans="1:16" x14ac:dyDescent="0.25">
      <c r="A432" t="str">
        <f t="shared" si="159"/>
        <v>10</v>
      </c>
      <c r="B432" t="str">
        <f t="shared" si="165"/>
        <v>21</v>
      </c>
      <c r="C432" s="1">
        <v>46259</v>
      </c>
      <c r="D432" t="str">
        <f>CLEAN("3700-11-68")</f>
        <v>3700-11-68</v>
      </c>
      <c r="E432" t="str">
        <f t="shared" si="161"/>
        <v xml:space="preserve">305  </v>
      </c>
      <c r="F432" t="str">
        <f>CLEAN("$750,000 - $999,999      ")</f>
        <v xml:space="preserve">$750,000 - $999,999      </v>
      </c>
      <c r="G432" t="str">
        <f t="shared" si="162"/>
        <v>MIS</v>
      </c>
      <c r="H432" t="str">
        <f t="shared" si="163"/>
        <v>NONLET CONSTR/REAL ESTATE</v>
      </c>
      <c r="I432" t="str">
        <f>CLEAN("TRF/ CONST SIGNAL RETROFIT/ TOSIG  ")</f>
        <v xml:space="preserve">TRF/ CONST SIGNAL RETROFIT/ TOSIG  </v>
      </c>
      <c r="J432" t="str">
        <f>CLEAN("STH 033")</f>
        <v>STH 033</v>
      </c>
      <c r="K432" t="str">
        <f>CLEAN("DODGE                         ")</f>
        <v xml:space="preserve">DODGE                         </v>
      </c>
      <c r="L432" t="str">
        <f>CLEAN("CITY OF BEAVER DAM                 ")</f>
        <v xml:space="preserve">CITY OF BEAVER DAM                 </v>
      </c>
      <c r="M432" t="str">
        <f>CLEAN("PARK AVE/UNIVERSITY AVE INTERS     ")</f>
        <v xml:space="preserve">PARK AVE/UNIVERSITY AVE INTERS     </v>
      </c>
      <c r="N432">
        <v>1.6E-2</v>
      </c>
      <c r="O432" t="str">
        <f t="shared" si="160"/>
        <v xml:space="preserve">          </v>
      </c>
      <c r="P432" t="str">
        <f t="shared" si="164"/>
        <v xml:space="preserve">INTELLIGENT TRANSPORTATION SYSTEMS (ITS)                                                            </v>
      </c>
    </row>
    <row r="433" spans="1:16" x14ac:dyDescent="0.25">
      <c r="A433" t="str">
        <f t="shared" si="159"/>
        <v>10</v>
      </c>
      <c r="B433" t="str">
        <f t="shared" si="165"/>
        <v>21</v>
      </c>
      <c r="C433" s="1">
        <v>45894</v>
      </c>
      <c r="D433" t="str">
        <f>CLEAN("3700-11-74")</f>
        <v>3700-11-74</v>
      </c>
      <c r="E433" t="str">
        <f t="shared" si="161"/>
        <v xml:space="preserve">305  </v>
      </c>
      <c r="F433" t="str">
        <f>CLEAN("$100,000-$249,999        ")</f>
        <v xml:space="preserve">$100,000-$249,999        </v>
      </c>
      <c r="G433" t="str">
        <f t="shared" si="162"/>
        <v>MIS</v>
      </c>
      <c r="H433" t="str">
        <f t="shared" si="163"/>
        <v>NONLET CONSTR/REAL ESTATE</v>
      </c>
      <c r="I433" t="str">
        <f>CLEAN("TRF OPS/SIGNAL REHAB               ")</f>
        <v xml:space="preserve">TRF OPS/SIGNAL REHAB               </v>
      </c>
      <c r="J433" t="str">
        <f>CLEAN("VAR HWY")</f>
        <v>VAR HWY</v>
      </c>
      <c r="K433" t="str">
        <f>CLEAN("SOUTHWEST REGION WIDE         ")</f>
        <v xml:space="preserve">SOUTHWEST REGION WIDE         </v>
      </c>
      <c r="L433" t="str">
        <f>CLEAN("SOUTHWEST REGIONWIDE               ")</f>
        <v xml:space="preserve">SOUTHWEST REGIONWIDE               </v>
      </c>
      <c r="M433" t="str">
        <f>CLEAN("VARIOUS LOCATIONS                  ")</f>
        <v xml:space="preserve">VARIOUS LOCATIONS                  </v>
      </c>
      <c r="N433">
        <v>0</v>
      </c>
      <c r="O433" t="str">
        <f t="shared" si="160"/>
        <v xml:space="preserve">          </v>
      </c>
      <c r="P433" t="str">
        <f t="shared" si="164"/>
        <v xml:space="preserve">INTELLIGENT TRANSPORTATION SYSTEMS (ITS)                                                            </v>
      </c>
    </row>
    <row r="434" spans="1:16" x14ac:dyDescent="0.25">
      <c r="A434" t="str">
        <f t="shared" si="159"/>
        <v>10</v>
      </c>
      <c r="B434" t="str">
        <f t="shared" si="165"/>
        <v>21</v>
      </c>
      <c r="C434" s="1">
        <v>45894</v>
      </c>
      <c r="D434" t="str">
        <f>CLEAN("3700-11-75")</f>
        <v>3700-11-75</v>
      </c>
      <c r="E434" t="str">
        <f t="shared" si="161"/>
        <v xml:space="preserve">305  </v>
      </c>
      <c r="F434" t="str">
        <f>CLEAN("$100,000-$249,999        ")</f>
        <v xml:space="preserve">$100,000-$249,999        </v>
      </c>
      <c r="G434" t="str">
        <f t="shared" si="162"/>
        <v>MIS</v>
      </c>
      <c r="H434" t="str">
        <f t="shared" si="163"/>
        <v>NONLET CONSTR/REAL ESTATE</v>
      </c>
      <c r="I434" t="str">
        <f>CLEAN("TRF/ DES SIGNAL RETROFIT /TOSIG    ")</f>
        <v xml:space="preserve">TRF/ DES SIGNAL RETROFIT /TOSIG    </v>
      </c>
      <c r="J434" t="str">
        <f>CLEAN("USH 051")</f>
        <v>USH 051</v>
      </c>
      <c r="K434" t="str">
        <f>CLEAN("COLUMBIA                      ")</f>
        <v xml:space="preserve">COLUMBIA                      </v>
      </c>
      <c r="L434" t="str">
        <f>CLEAN("CITY OF PORTAGE                    ")</f>
        <v xml:space="preserve">CITY OF PORTAGE                    </v>
      </c>
      <c r="M434" t="str">
        <f>CLEAN("HAERTEL ST/ WIS ST/ MACFARLANE RD  ")</f>
        <v xml:space="preserve">HAERTEL ST/ WIS ST/ MACFARLANE RD  </v>
      </c>
      <c r="N434">
        <v>0.106</v>
      </c>
      <c r="O434" t="str">
        <f t="shared" si="160"/>
        <v xml:space="preserve">          </v>
      </c>
      <c r="P434" t="str">
        <f t="shared" si="164"/>
        <v xml:space="preserve">INTELLIGENT TRANSPORTATION SYSTEMS (ITS)                                                            </v>
      </c>
    </row>
    <row r="435" spans="1:16" x14ac:dyDescent="0.25">
      <c r="A435" t="str">
        <f t="shared" si="159"/>
        <v>10</v>
      </c>
      <c r="B435" t="str">
        <f t="shared" si="165"/>
        <v>21</v>
      </c>
      <c r="C435" s="1">
        <v>46259</v>
      </c>
      <c r="D435" t="str">
        <f>CLEAN("3700-11-76")</f>
        <v>3700-11-76</v>
      </c>
      <c r="E435" t="str">
        <f t="shared" si="161"/>
        <v xml:space="preserve">305  </v>
      </c>
      <c r="F435" t="str">
        <f>CLEAN("$1,000,000 - $1,999,999  ")</f>
        <v xml:space="preserve">$1,000,000 - $1,999,999  </v>
      </c>
      <c r="G435" t="str">
        <f t="shared" si="162"/>
        <v>MIS</v>
      </c>
      <c r="H435" t="str">
        <f t="shared" si="163"/>
        <v>NONLET CONSTR/REAL ESTATE</v>
      </c>
      <c r="I435" t="str">
        <f>CLEAN("TRF/ CONST SIGNAL RETROFIT /TOSIG  ")</f>
        <v xml:space="preserve">TRF/ CONST SIGNAL RETROFIT /TOSIG  </v>
      </c>
      <c r="J435" t="str">
        <f>CLEAN("USH 051")</f>
        <v>USH 051</v>
      </c>
      <c r="K435" t="str">
        <f>CLEAN("COLUMBIA                      ")</f>
        <v xml:space="preserve">COLUMBIA                      </v>
      </c>
      <c r="L435" t="str">
        <f>CLEAN("CITY OF PORTAGE                    ")</f>
        <v xml:space="preserve">CITY OF PORTAGE                    </v>
      </c>
      <c r="M435" t="str">
        <f>CLEAN("HAERTEL ST/ WIS ST/ MACFARLANE RD  ")</f>
        <v xml:space="preserve">HAERTEL ST/ WIS ST/ MACFARLANE RD  </v>
      </c>
      <c r="N435">
        <v>0.106</v>
      </c>
      <c r="O435" t="str">
        <f t="shared" si="160"/>
        <v xml:space="preserve">          </v>
      </c>
      <c r="P435" t="str">
        <f t="shared" si="164"/>
        <v xml:space="preserve">INTELLIGENT TRANSPORTATION SYSTEMS (ITS)                                                            </v>
      </c>
    </row>
    <row r="436" spans="1:16" x14ac:dyDescent="0.25">
      <c r="A436" t="str">
        <f t="shared" si="159"/>
        <v>10</v>
      </c>
      <c r="B436" t="str">
        <f t="shared" si="165"/>
        <v>21</v>
      </c>
      <c r="C436" s="1">
        <v>45894</v>
      </c>
      <c r="D436" t="str">
        <f>CLEAN("3700-11-77")</f>
        <v>3700-11-77</v>
      </c>
      <c r="E436" t="str">
        <f t="shared" si="161"/>
        <v xml:space="preserve">305  </v>
      </c>
      <c r="F436" t="str">
        <f>CLEAN("$100,000-$249,999        ")</f>
        <v xml:space="preserve">$100,000-$249,999        </v>
      </c>
      <c r="G436" t="str">
        <f t="shared" si="162"/>
        <v>MIS</v>
      </c>
      <c r="H436" t="str">
        <f t="shared" si="163"/>
        <v>NONLET CONSTR/REAL ESTATE</v>
      </c>
      <c r="I436" t="str">
        <f>CLEAN("TRF/ DES SIGNAL RETROFIT /TOSIG    ")</f>
        <v xml:space="preserve">TRF/ DES SIGNAL RETROFIT /TOSIG    </v>
      </c>
      <c r="J436" t="str">
        <f>CLEAN("USH 051")</f>
        <v>USH 051</v>
      </c>
      <c r="K436" t="str">
        <f>CLEAN("COLUMBIA                      ")</f>
        <v xml:space="preserve">COLUMBIA                      </v>
      </c>
      <c r="L436" t="str">
        <f>CLEAN("CITY OF PORTAGE                    ")</f>
        <v xml:space="preserve">CITY OF PORTAGE                    </v>
      </c>
      <c r="M436" t="str">
        <f>CLEAN("DEWITT ST/COOK STREETS/WISC ST     ")</f>
        <v xml:space="preserve">DEWITT ST/COOK STREETS/WISC ST     </v>
      </c>
      <c r="N436">
        <v>0</v>
      </c>
      <c r="O436" t="str">
        <f t="shared" si="160"/>
        <v xml:space="preserve">          </v>
      </c>
      <c r="P436" t="str">
        <f t="shared" si="164"/>
        <v xml:space="preserve">INTELLIGENT TRANSPORTATION SYSTEMS (ITS)                                                            </v>
      </c>
    </row>
    <row r="437" spans="1:16" x14ac:dyDescent="0.25">
      <c r="A437" t="str">
        <f t="shared" si="159"/>
        <v>10</v>
      </c>
      <c r="B437" t="str">
        <f t="shared" si="165"/>
        <v>21</v>
      </c>
      <c r="C437" s="1">
        <v>45894</v>
      </c>
      <c r="D437" t="str">
        <f>CLEAN("3700-11-80")</f>
        <v>3700-11-80</v>
      </c>
      <c r="E437" t="str">
        <f t="shared" si="161"/>
        <v xml:space="preserve">305  </v>
      </c>
      <c r="F437" t="str">
        <f>CLEAN("$0 - $99,999             ")</f>
        <v xml:space="preserve">$0 - $99,999             </v>
      </c>
      <c r="G437" t="str">
        <f t="shared" si="162"/>
        <v>MIS</v>
      </c>
      <c r="H437" t="str">
        <f t="shared" si="163"/>
        <v>NONLET CONSTR/REAL ESTATE</v>
      </c>
      <c r="I437" t="str">
        <f>CLEAN("TRF/ DES SIGNAL RETROFIT/ TOSIG    ")</f>
        <v xml:space="preserve">TRF/ DES SIGNAL RETROFIT/ TOSIG    </v>
      </c>
      <c r="J437" t="str">
        <f>CLEAN("STH 069")</f>
        <v>STH 069</v>
      </c>
      <c r="K437" t="str">
        <f>CLEAN("GREEN                         ")</f>
        <v xml:space="preserve">GREEN                         </v>
      </c>
      <c r="L437" t="str">
        <f>CLEAN("CITY OF MONROE                     ")</f>
        <v xml:space="preserve">CITY OF MONROE                     </v>
      </c>
      <c r="M437" t="str">
        <f>CLEAN("STH 69/7TH AVENUE &amp; 6TH STREET     ")</f>
        <v xml:space="preserve">STH 69/7TH AVENUE &amp; 6TH STREET     </v>
      </c>
      <c r="N437">
        <v>7.3999999999999996E-2</v>
      </c>
      <c r="O437" t="str">
        <f t="shared" si="160"/>
        <v xml:space="preserve">          </v>
      </c>
      <c r="P437" t="str">
        <f t="shared" si="164"/>
        <v xml:space="preserve">INTELLIGENT TRANSPORTATION SYSTEMS (ITS)                                                            </v>
      </c>
    </row>
    <row r="438" spans="1:16" x14ac:dyDescent="0.25">
      <c r="A438" t="str">
        <f t="shared" si="159"/>
        <v>10</v>
      </c>
      <c r="B438" t="str">
        <f t="shared" si="165"/>
        <v>21</v>
      </c>
      <c r="C438" s="1">
        <v>46259</v>
      </c>
      <c r="D438" t="str">
        <f>CLEAN("3700-11-81")</f>
        <v>3700-11-81</v>
      </c>
      <c r="E438" t="str">
        <f t="shared" si="161"/>
        <v xml:space="preserve">305  </v>
      </c>
      <c r="F438" t="str">
        <f>CLEAN("$500,000 - $749,999      ")</f>
        <v xml:space="preserve">$500,000 - $749,999      </v>
      </c>
      <c r="G438" t="str">
        <f t="shared" si="162"/>
        <v>MIS</v>
      </c>
      <c r="H438" t="str">
        <f t="shared" si="163"/>
        <v>NONLET CONSTR/REAL ESTATE</v>
      </c>
      <c r="I438" t="str">
        <f>CLEAN("TRF/ CONST SIGNAL RETROFIT/ TOSIG  ")</f>
        <v xml:space="preserve">TRF/ CONST SIGNAL RETROFIT/ TOSIG  </v>
      </c>
      <c r="J438" t="str">
        <f>CLEAN("STH 069")</f>
        <v>STH 069</v>
      </c>
      <c r="K438" t="str">
        <f>CLEAN("GREEN                         ")</f>
        <v xml:space="preserve">GREEN                         </v>
      </c>
      <c r="L438" t="str">
        <f>CLEAN("CITY OF MONROE                     ")</f>
        <v xml:space="preserve">CITY OF MONROE                     </v>
      </c>
      <c r="M438" t="str">
        <f>CLEAN("STH 69/7TH AVENUE &amp; 6TH STREET     ")</f>
        <v xml:space="preserve">STH 69/7TH AVENUE &amp; 6TH STREET     </v>
      </c>
      <c r="N438">
        <v>7.3999999999999996E-2</v>
      </c>
      <c r="O438" t="str">
        <f t="shared" si="160"/>
        <v xml:space="preserve">          </v>
      </c>
      <c r="P438" t="str">
        <f t="shared" si="164"/>
        <v xml:space="preserve">INTELLIGENT TRANSPORTATION SYSTEMS (ITS)                                                            </v>
      </c>
    </row>
    <row r="439" spans="1:16" x14ac:dyDescent="0.25">
      <c r="A439" t="str">
        <f t="shared" si="159"/>
        <v>10</v>
      </c>
      <c r="B439" t="str">
        <f>CLEAN("22")</f>
        <v>22</v>
      </c>
      <c r="C439" s="1">
        <v>45925</v>
      </c>
      <c r="D439" t="str">
        <f>CLEAN("3700-12-90")</f>
        <v>3700-12-90</v>
      </c>
      <c r="E439" t="str">
        <f t="shared" si="161"/>
        <v xml:space="preserve">305  </v>
      </c>
      <c r="F439" t="str">
        <f>CLEAN("$250,000 - $499,999      ")</f>
        <v xml:space="preserve">$250,000 - $499,999      </v>
      </c>
      <c r="G439" t="str">
        <f t="shared" si="162"/>
        <v>MIS</v>
      </c>
      <c r="H439" t="str">
        <f t="shared" si="163"/>
        <v>NONLET CONSTR/REAL ESTATE</v>
      </c>
      <c r="I439" t="str">
        <f>CLEAN("SISP SE2601, PROCUREMENT           ")</f>
        <v xml:space="preserve">SISP SE2601, PROCUREMENT           </v>
      </c>
      <c r="J439" t="str">
        <f>CLEAN("STH 120")</f>
        <v>STH 120</v>
      </c>
      <c r="K439" t="str">
        <f>CLEAN("WALWORTH                      ")</f>
        <v xml:space="preserve">WALWORTH                      </v>
      </c>
      <c r="L439" t="str">
        <f>CLEAN("STH 120 &amp; CTH H SIGNAL RETROFIT    ")</f>
        <v xml:space="preserve">STH 120 &amp; CTH H SIGNAL RETROFIT    </v>
      </c>
      <c r="M439" t="str">
        <f>CLEAN("INTERSECTION OF STH 120 &amp; CTH H    ")</f>
        <v xml:space="preserve">INTERSECTION OF STH 120 &amp; CTH H    </v>
      </c>
      <c r="N439">
        <v>0</v>
      </c>
      <c r="O439" t="str">
        <f t="shared" si="160"/>
        <v xml:space="preserve">          </v>
      </c>
      <c r="P439" t="str">
        <f t="shared" si="164"/>
        <v xml:space="preserve">INTELLIGENT TRANSPORTATION SYSTEMS (ITS)                                                            </v>
      </c>
    </row>
    <row r="440" spans="1:16" x14ac:dyDescent="0.25">
      <c r="A440" t="str">
        <f t="shared" si="159"/>
        <v>10</v>
      </c>
      <c r="B440" t="str">
        <f>CLEAN("22")</f>
        <v>22</v>
      </c>
      <c r="C440" s="1">
        <v>46198</v>
      </c>
      <c r="D440" t="str">
        <f>CLEAN("3700-20-77")</f>
        <v>3700-20-77</v>
      </c>
      <c r="E440" t="str">
        <f t="shared" si="161"/>
        <v xml:space="preserve">305  </v>
      </c>
      <c r="F440" t="str">
        <f>CLEAN("$1,000,000 - $1,999,999  ")</f>
        <v xml:space="preserve">$1,000,000 - $1,999,999  </v>
      </c>
      <c r="G440" t="str">
        <f t="shared" si="162"/>
        <v>MIS</v>
      </c>
      <c r="H440" t="str">
        <f t="shared" si="163"/>
        <v>NONLET CONSTR/REAL ESTATE</v>
      </c>
      <c r="I440" t="str">
        <f>CLEAN("MIS/SIGNAL TIMING OPTIMIZATION     ")</f>
        <v xml:space="preserve">MIS/SIGNAL TIMING OPTIMIZATION     </v>
      </c>
      <c r="J440" t="str">
        <f>CLEAN("VAR HWY")</f>
        <v>VAR HWY</v>
      </c>
      <c r="K440" t="str">
        <f>CLEAN("SOUTHEAST REGION WIDE         ")</f>
        <v xml:space="preserve">SOUTHEAST REGION WIDE         </v>
      </c>
      <c r="L440" t="str">
        <f>CLEAN("SIGNAL TIMING OPTIMIZATION FY 25   ")</f>
        <v xml:space="preserve">SIGNAL TIMING OPTIMIZATION FY 25   </v>
      </c>
      <c r="M440" t="str">
        <f>CLEAN("VARIOUS STATE HIGHWAYS PER PLAN    ")</f>
        <v xml:space="preserve">VARIOUS STATE HIGHWAYS PER PLAN    </v>
      </c>
      <c r="N440">
        <v>0</v>
      </c>
      <c r="O440" t="str">
        <f t="shared" si="160"/>
        <v xml:space="preserve">          </v>
      </c>
      <c r="P440" t="str">
        <f t="shared" si="164"/>
        <v xml:space="preserve">INTELLIGENT TRANSPORTATION SYSTEMS (ITS)                                                            </v>
      </c>
    </row>
    <row r="441" spans="1:16" x14ac:dyDescent="0.25">
      <c r="A441" t="str">
        <f t="shared" si="159"/>
        <v>10</v>
      </c>
      <c r="B441" t="str">
        <f>CLEAN("22")</f>
        <v>22</v>
      </c>
      <c r="C441" s="1">
        <v>45986</v>
      </c>
      <c r="D441" t="str">
        <f>CLEAN("3700-20-87")</f>
        <v>3700-20-87</v>
      </c>
      <c r="E441" t="str">
        <f t="shared" si="161"/>
        <v xml:space="preserve">305  </v>
      </c>
      <c r="F441" t="str">
        <f>CLEAN("$1,000,000 - $1,999,999  ")</f>
        <v xml:space="preserve">$1,000,000 - $1,999,999  </v>
      </c>
      <c r="G441" t="str">
        <f t="shared" si="162"/>
        <v>MIS</v>
      </c>
      <c r="H441" t="str">
        <f t="shared" si="163"/>
        <v>NONLET CONSTR/REAL ESTATE</v>
      </c>
      <c r="I441" t="str">
        <f>CLEAN("MIS/SIGNAL TIMING OPTIMIZATION     ")</f>
        <v xml:space="preserve">MIS/SIGNAL TIMING OPTIMIZATION     </v>
      </c>
      <c r="J441" t="str">
        <f>CLEAN("VAR HWY")</f>
        <v>VAR HWY</v>
      </c>
      <c r="K441" t="str">
        <f>CLEAN("SOUTHEAST REGION WIDE         ")</f>
        <v xml:space="preserve">SOUTHEAST REGION WIDE         </v>
      </c>
      <c r="L441" t="str">
        <f>CLEAN("SIGNAL TIMING OPTIMIZATION FY 26   ")</f>
        <v xml:space="preserve">SIGNAL TIMING OPTIMIZATION FY 26   </v>
      </c>
      <c r="M441" t="str">
        <f>CLEAN("VARIOUS STATE HIGHWAYS PER PLAN    ")</f>
        <v xml:space="preserve">VARIOUS STATE HIGHWAYS PER PLAN    </v>
      </c>
      <c r="N441">
        <v>0</v>
      </c>
      <c r="O441" t="str">
        <f t="shared" si="160"/>
        <v xml:space="preserve">          </v>
      </c>
      <c r="P441" t="str">
        <f t="shared" si="164"/>
        <v xml:space="preserve">INTELLIGENT TRANSPORTATION SYSTEMS (ITS)                                                            </v>
      </c>
    </row>
    <row r="442" spans="1:16" x14ac:dyDescent="0.25">
      <c r="A442" t="str">
        <f t="shared" si="159"/>
        <v>10</v>
      </c>
      <c r="B442" t="str">
        <f>CLEAN("23")</f>
        <v>23</v>
      </c>
      <c r="C442" s="1">
        <v>46016</v>
      </c>
      <c r="D442" t="str">
        <f>CLEAN("3700-30-65")</f>
        <v>3700-30-65</v>
      </c>
      <c r="E442" t="str">
        <f t="shared" si="161"/>
        <v xml:space="preserve">305  </v>
      </c>
      <c r="F442" t="str">
        <f>CLEAN("$0 - $99,999             ")</f>
        <v xml:space="preserve">$0 - $99,999             </v>
      </c>
      <c r="G442" t="str">
        <f t="shared" si="162"/>
        <v>MIS</v>
      </c>
      <c r="H442" t="str">
        <f t="shared" si="163"/>
        <v>NONLET CONSTR/REAL ESTATE</v>
      </c>
      <c r="I442" t="str">
        <f>CLEAN("TRF OPS/TOSIG                      ")</f>
        <v xml:space="preserve">TRF OPS/TOSIG                      </v>
      </c>
      <c r="J442" t="str">
        <f>CLEAN("USH 045")</f>
        <v>USH 045</v>
      </c>
      <c r="K442" t="str">
        <f>CLEAN("FOND DU LAC                   ")</f>
        <v xml:space="preserve">FOND DU LAC                   </v>
      </c>
      <c r="L442" t="str">
        <f>CLEAN("C FOND DU LAC, USH 45              ")</f>
        <v xml:space="preserve">C FOND DU LAC, USH 45              </v>
      </c>
      <c r="M442" t="str">
        <f>CLEAN("W. SCOTT STREET INTERSECTION       ")</f>
        <v xml:space="preserve">W. SCOTT STREET INTERSECTION       </v>
      </c>
      <c r="N442">
        <v>3.0000000000000001E-3</v>
      </c>
      <c r="O442" t="str">
        <f t="shared" si="160"/>
        <v xml:space="preserve">          </v>
      </c>
      <c r="P442" t="str">
        <f t="shared" si="164"/>
        <v xml:space="preserve">INTELLIGENT TRANSPORTATION SYSTEMS (ITS)                                                            </v>
      </c>
    </row>
    <row r="443" spans="1:16" x14ac:dyDescent="0.25">
      <c r="A443" t="str">
        <f t="shared" si="159"/>
        <v>10</v>
      </c>
      <c r="B443" t="str">
        <f>CLEAN("23")</f>
        <v>23</v>
      </c>
      <c r="C443" s="1">
        <v>46016</v>
      </c>
      <c r="D443" t="str">
        <f>CLEAN("3700-30-67")</f>
        <v>3700-30-67</v>
      </c>
      <c r="E443" t="str">
        <f t="shared" si="161"/>
        <v xml:space="preserve">305  </v>
      </c>
      <c r="F443" t="str">
        <f>CLEAN("$500,000 - $749,999      ")</f>
        <v xml:space="preserve">$500,000 - $749,999      </v>
      </c>
      <c r="G443" t="str">
        <f t="shared" si="162"/>
        <v>MIS</v>
      </c>
      <c r="H443" t="str">
        <f t="shared" si="163"/>
        <v>NONLET CONSTR/REAL ESTATE</v>
      </c>
      <c r="I443" t="str">
        <f>CLEAN("TRF OPS/TOSIG                      ")</f>
        <v xml:space="preserve">TRF OPS/TOSIG                      </v>
      </c>
      <c r="J443" t="str">
        <f>CLEAN("VAR HWY")</f>
        <v>VAR HWY</v>
      </c>
      <c r="K443" t="str">
        <f>CLEAN("BROWN                         ")</f>
        <v xml:space="preserve">BROWN                         </v>
      </c>
      <c r="L443" t="str">
        <f>CLEAN("C GREEN BAY, SIGNAL RETROFIT       ")</f>
        <v xml:space="preserve">C GREEN BAY, SIGNAL RETROFIT       </v>
      </c>
      <c r="M443" t="str">
        <f>CLEAN("CITY WIDE                          ")</f>
        <v xml:space="preserve">CITY WIDE                          </v>
      </c>
      <c r="N443">
        <v>1</v>
      </c>
      <c r="O443" t="str">
        <f t="shared" si="160"/>
        <v xml:space="preserve">          </v>
      </c>
      <c r="P443" t="str">
        <f t="shared" si="164"/>
        <v xml:space="preserve">INTELLIGENT TRANSPORTATION SYSTEMS (ITS)                                                            </v>
      </c>
    </row>
    <row r="444" spans="1:16" x14ac:dyDescent="0.25">
      <c r="A444" t="str">
        <f t="shared" si="159"/>
        <v>10</v>
      </c>
      <c r="B444" t="str">
        <f>CLEAN("23")</f>
        <v>23</v>
      </c>
      <c r="C444" s="1">
        <v>46198</v>
      </c>
      <c r="D444" t="str">
        <f>CLEAN("3700-30-71")</f>
        <v>3700-30-71</v>
      </c>
      <c r="E444" t="str">
        <f t="shared" si="161"/>
        <v xml:space="preserve">305  </v>
      </c>
      <c r="F444" t="str">
        <f>CLEAN("$500,000 - $749,999      ")</f>
        <v xml:space="preserve">$500,000 - $749,999      </v>
      </c>
      <c r="G444" t="str">
        <f t="shared" si="162"/>
        <v>MIS</v>
      </c>
      <c r="H444" t="str">
        <f t="shared" si="163"/>
        <v>NONLET CONSTR/REAL ESTATE</v>
      </c>
      <c r="I444" t="str">
        <f>CLEAN("TRF OPS/TOSIG                      ")</f>
        <v xml:space="preserve">TRF OPS/TOSIG                      </v>
      </c>
      <c r="J444" t="str">
        <f>CLEAN("STH 047")</f>
        <v>STH 047</v>
      </c>
      <c r="K444" t="str">
        <f>CLEAN("OUTAGAMIE                     ")</f>
        <v xml:space="preserve">OUTAGAMIE                     </v>
      </c>
      <c r="L444" t="str">
        <f>CLEAN("C APPLETON, SIGNAL RETROFIT        ")</f>
        <v xml:space="preserve">C APPLETON, SIGNAL RETROFIT        </v>
      </c>
      <c r="M444" t="str">
        <f>CLEAN("STH 47 &amp; RIDGEVEW SIGNAL REHAB     ")</f>
        <v xml:space="preserve">STH 47 &amp; RIDGEVEW SIGNAL REHAB     </v>
      </c>
      <c r="N444">
        <v>4.9000000000000002E-2</v>
      </c>
      <c r="O444" t="str">
        <f t="shared" si="160"/>
        <v xml:space="preserve">          </v>
      </c>
      <c r="P444" t="str">
        <f t="shared" si="164"/>
        <v xml:space="preserve">INTELLIGENT TRANSPORTATION SYSTEMS (ITS)                                                            </v>
      </c>
    </row>
    <row r="445" spans="1:16" x14ac:dyDescent="0.25">
      <c r="A445" t="str">
        <f t="shared" ref="A445:A476" si="166">CLEAN("10")</f>
        <v>10</v>
      </c>
      <c r="B445" t="str">
        <f>CLEAN("23")</f>
        <v>23</v>
      </c>
      <c r="C445" s="1">
        <v>46106</v>
      </c>
      <c r="D445" t="str">
        <f>CLEAN("3700-30-72")</f>
        <v>3700-30-72</v>
      </c>
      <c r="E445" t="str">
        <f t="shared" si="161"/>
        <v xml:space="preserve">305  </v>
      </c>
      <c r="F445" t="str">
        <f>CLEAN("$0 - $99,999             ")</f>
        <v xml:space="preserve">$0 - $99,999             </v>
      </c>
      <c r="G445" t="str">
        <f t="shared" si="162"/>
        <v>MIS</v>
      </c>
      <c r="H445" t="str">
        <f t="shared" si="163"/>
        <v>NONLET CONSTR/REAL ESTATE</v>
      </c>
      <c r="I445" t="str">
        <f>CLEAN("TRAFFIC/MISC-SIGNAL REHAB          ")</f>
        <v xml:space="preserve">TRAFFIC/MISC-SIGNAL REHAB          </v>
      </c>
      <c r="J445" t="str">
        <f>CLEAN("VAR HWY")</f>
        <v>VAR HWY</v>
      </c>
      <c r="K445" t="str">
        <f>CLEAN("NORTHEAST REGION WIDE         ")</f>
        <v xml:space="preserve">NORTHEAST REGION WIDE         </v>
      </c>
      <c r="L445" t="str">
        <f>CLEAN("NE REGION LED SIGNAL REPLACEMENT   ")</f>
        <v xml:space="preserve">NE REGION LED SIGNAL REPLACEMENT   </v>
      </c>
      <c r="M445" t="str">
        <f>CLEAN("FY26 NE REGION WIDE/STH/USH        ")</f>
        <v xml:space="preserve">FY26 NE REGION WIDE/STH/USH        </v>
      </c>
      <c r="N445">
        <v>0</v>
      </c>
      <c r="O445" t="str">
        <f t="shared" si="160"/>
        <v xml:space="preserve">          </v>
      </c>
      <c r="P445" t="str">
        <f t="shared" si="164"/>
        <v xml:space="preserve">INTELLIGENT TRANSPORTATION SYSTEMS (ITS)                                                            </v>
      </c>
    </row>
    <row r="446" spans="1:16" x14ac:dyDescent="0.25">
      <c r="A446" t="str">
        <f t="shared" si="166"/>
        <v>10</v>
      </c>
      <c r="B446" t="str">
        <f t="shared" ref="B446:B452" si="167">CLEAN("24")</f>
        <v>24</v>
      </c>
      <c r="C446" s="1">
        <v>45955</v>
      </c>
      <c r="D446" t="str">
        <f>CLEAN("3700-40-34")</f>
        <v>3700-40-34</v>
      </c>
      <c r="E446" t="str">
        <f t="shared" si="161"/>
        <v xml:space="preserve">305  </v>
      </c>
      <c r="F446" t="str">
        <f>CLEAN("$0 - $99,999             ")</f>
        <v xml:space="preserve">$0 - $99,999             </v>
      </c>
      <c r="G446" t="str">
        <f t="shared" si="162"/>
        <v>MIS</v>
      </c>
      <c r="H446" t="str">
        <f t="shared" si="163"/>
        <v>NONLET CONSTR/REAL ESTATE</v>
      </c>
      <c r="I446" t="str">
        <f>CLEAN("ITS/TRAFFIC/STANDALONE PROGRAM     ")</f>
        <v xml:space="preserve">ITS/TRAFFIC/STANDALONE PROGRAM     </v>
      </c>
      <c r="J446" t="str">
        <f>CLEAN("VAR HWY")</f>
        <v>VAR HWY</v>
      </c>
      <c r="K446" t="str">
        <f>CLEAN("NORTH CENTRAL REGION WIDE     ")</f>
        <v xml:space="preserve">NORTH CENTRAL REGION WIDE     </v>
      </c>
      <c r="L446" t="str">
        <f>CLEAN("LED SIGNAL HEAD REPLACEMENTS       ")</f>
        <v xml:space="preserve">LED SIGNAL HEAD REPLACEMENTS       </v>
      </c>
      <c r="M446" t="str">
        <f>CLEAN("NC REGIONWIDE VARIOUS LOCATIONS    ")</f>
        <v xml:space="preserve">NC REGIONWIDE VARIOUS LOCATIONS    </v>
      </c>
      <c r="N446">
        <v>0</v>
      </c>
      <c r="O446" t="str">
        <f t="shared" si="160"/>
        <v xml:space="preserve">          </v>
      </c>
      <c r="P446" t="str">
        <f t="shared" si="164"/>
        <v xml:space="preserve">INTELLIGENT TRANSPORTATION SYSTEMS (ITS)                                                            </v>
      </c>
    </row>
    <row r="447" spans="1:16" x14ac:dyDescent="0.25">
      <c r="A447" t="str">
        <f t="shared" si="166"/>
        <v>10</v>
      </c>
      <c r="B447" t="str">
        <f t="shared" si="167"/>
        <v>24</v>
      </c>
      <c r="C447" s="1">
        <v>45894</v>
      </c>
      <c r="D447" t="str">
        <f>CLEAN("3700-40-36")</f>
        <v>3700-40-36</v>
      </c>
      <c r="E447" t="str">
        <f t="shared" si="161"/>
        <v xml:space="preserve">305  </v>
      </c>
      <c r="F447" t="str">
        <f>CLEAN("$0 - $99,999             ")</f>
        <v xml:space="preserve">$0 - $99,999             </v>
      </c>
      <c r="G447" t="str">
        <f t="shared" si="162"/>
        <v>MIS</v>
      </c>
      <c r="H447" t="str">
        <f t="shared" si="163"/>
        <v>NONLET CONSTR/REAL ESTATE</v>
      </c>
      <c r="I447" t="str">
        <f>CLEAN("ITS/TRAFFIC/STANDALONE PROGRAM     ")</f>
        <v xml:space="preserve">ITS/TRAFFIC/STANDALONE PROGRAM     </v>
      </c>
      <c r="J447" t="str">
        <f>CLEAN("VAR HWY")</f>
        <v>VAR HWY</v>
      </c>
      <c r="K447" t="str">
        <f>CLEAN("NORTH CENTRAL REGION WIDE     ")</f>
        <v xml:space="preserve">NORTH CENTRAL REGION WIDE     </v>
      </c>
      <c r="L447" t="str">
        <f>CLEAN("LED SIGNAL HEAD REPLACEMENTS       ")</f>
        <v xml:space="preserve">LED SIGNAL HEAD REPLACEMENTS       </v>
      </c>
      <c r="M447" t="str">
        <f>CLEAN("NC REGIONWIDE VARIOUS LOCATIONS    ")</f>
        <v xml:space="preserve">NC REGIONWIDE VARIOUS LOCATIONS    </v>
      </c>
      <c r="N447">
        <v>0.02</v>
      </c>
      <c r="O447" t="str">
        <f t="shared" si="160"/>
        <v xml:space="preserve">          </v>
      </c>
      <c r="P447" t="str">
        <f t="shared" si="164"/>
        <v xml:space="preserve">INTELLIGENT TRANSPORTATION SYSTEMS (ITS)                                                            </v>
      </c>
    </row>
    <row r="448" spans="1:16" x14ac:dyDescent="0.25">
      <c r="A448" t="str">
        <f t="shared" si="166"/>
        <v>10</v>
      </c>
      <c r="B448" t="str">
        <f t="shared" si="167"/>
        <v>24</v>
      </c>
      <c r="C448" s="1">
        <v>46198</v>
      </c>
      <c r="D448" t="str">
        <f>CLEAN("3700-40-41")</f>
        <v>3700-40-41</v>
      </c>
      <c r="E448" t="str">
        <f t="shared" si="161"/>
        <v xml:space="preserve">305  </v>
      </c>
      <c r="F448" t="str">
        <f>CLEAN("$250,000 - $499,999      ")</f>
        <v xml:space="preserve">$250,000 - $499,999      </v>
      </c>
      <c r="G448" t="str">
        <f t="shared" si="162"/>
        <v>MIS</v>
      </c>
      <c r="H448" t="str">
        <f t="shared" si="163"/>
        <v>NONLET CONSTR/REAL ESTATE</v>
      </c>
      <c r="I448" t="str">
        <f>CLEAN("ITS/CONST/STANDALONE PROGRAM       ")</f>
        <v xml:space="preserve">ITS/CONST/STANDALONE PROGRAM       </v>
      </c>
      <c r="J448" t="str">
        <f>CLEAN("STH B05")</f>
        <v>STH B05</v>
      </c>
      <c r="K448" t="str">
        <f>CLEAN("MARATHON                      ")</f>
        <v xml:space="preserve">MARATHON                      </v>
      </c>
      <c r="L448" t="str">
        <f>CLEAN("C WAUSAU, GRAND AVE SIGNAL RETROFIT")</f>
        <v>C WAUSAU, GRAND AVE SIGNAL RETROFIT</v>
      </c>
      <c r="M448" t="str">
        <f>CLEAN("BUS 51/TOWNLINE RD INTERSECTION    ")</f>
        <v xml:space="preserve">BUS 51/TOWNLINE RD INTERSECTION    </v>
      </c>
      <c r="N448">
        <v>0</v>
      </c>
      <c r="O448" t="str">
        <f t="shared" si="160"/>
        <v xml:space="preserve">          </v>
      </c>
      <c r="P448" t="str">
        <f t="shared" si="164"/>
        <v xml:space="preserve">INTELLIGENT TRANSPORTATION SYSTEMS (ITS)                                                            </v>
      </c>
    </row>
    <row r="449" spans="1:16" x14ac:dyDescent="0.25">
      <c r="A449" t="str">
        <f t="shared" si="166"/>
        <v>10</v>
      </c>
      <c r="B449" t="str">
        <f t="shared" si="167"/>
        <v>24</v>
      </c>
      <c r="C449" s="1">
        <v>46198</v>
      </c>
      <c r="D449" t="str">
        <f>CLEAN("3700-40-43")</f>
        <v>3700-40-43</v>
      </c>
      <c r="E449" t="str">
        <f t="shared" si="161"/>
        <v xml:space="preserve">305  </v>
      </c>
      <c r="F449" t="str">
        <f>CLEAN("$250,000 - $499,999      ")</f>
        <v xml:space="preserve">$250,000 - $499,999      </v>
      </c>
      <c r="G449" t="str">
        <f t="shared" si="162"/>
        <v>MIS</v>
      </c>
      <c r="H449" t="str">
        <f t="shared" si="163"/>
        <v>NONLET CONSTR/REAL ESTATE</v>
      </c>
      <c r="I449" t="str">
        <f>CLEAN("ITS/CONST/STANDALONE PROGRAM       ")</f>
        <v xml:space="preserve">ITS/CONST/STANDALONE PROGRAM       </v>
      </c>
      <c r="J449" t="str">
        <f>CLEAN("STH B05")</f>
        <v>STH B05</v>
      </c>
      <c r="K449" t="str">
        <f>CLEAN("MARATHON                      ")</f>
        <v xml:space="preserve">MARATHON                      </v>
      </c>
      <c r="L449" t="str">
        <f>CLEAN("C WAUSAU, GRAND AVE SIGNAL RETROFIT")</f>
        <v>C WAUSAU, GRAND AVE SIGNAL RETROFIT</v>
      </c>
      <c r="M449" t="str">
        <f>CLEAN("BUS51/STURGEON EDDY RD INTERSECTION")</f>
        <v>BUS51/STURGEON EDDY RD INTERSECTION</v>
      </c>
      <c r="N449">
        <v>0</v>
      </c>
      <c r="O449" t="str">
        <f t="shared" ref="O449:O482" si="168">CLEAN("          ")</f>
        <v xml:space="preserve">          </v>
      </c>
      <c r="P449" t="str">
        <f t="shared" si="164"/>
        <v xml:space="preserve">INTELLIGENT TRANSPORTATION SYSTEMS (ITS)                                                            </v>
      </c>
    </row>
    <row r="450" spans="1:16" x14ac:dyDescent="0.25">
      <c r="A450" t="str">
        <f t="shared" si="166"/>
        <v>10</v>
      </c>
      <c r="B450" t="str">
        <f t="shared" si="167"/>
        <v>24</v>
      </c>
      <c r="C450" s="1">
        <v>45925</v>
      </c>
      <c r="D450" t="str">
        <f>CLEAN("3700-40-46")</f>
        <v>3700-40-46</v>
      </c>
      <c r="E450" t="str">
        <f t="shared" si="161"/>
        <v xml:space="preserve">305  </v>
      </c>
      <c r="F450" t="str">
        <f>CLEAN("$100,000-$249,999        ")</f>
        <v xml:space="preserve">$100,000-$249,999        </v>
      </c>
      <c r="G450" t="str">
        <f t="shared" si="162"/>
        <v>MIS</v>
      </c>
      <c r="H450" t="str">
        <f t="shared" si="163"/>
        <v>NONLET CONSTR/REAL ESTATE</v>
      </c>
      <c r="I450" t="str">
        <f>CLEAN("TRF OPS/ITS/STANDALONE PROGRAM     ")</f>
        <v xml:space="preserve">TRF OPS/ITS/STANDALONE PROGRAM     </v>
      </c>
      <c r="J450" t="str">
        <f>CLEAN("VAR HWY")</f>
        <v>VAR HWY</v>
      </c>
      <c r="K450" t="str">
        <f>CLEAN("WOOD                          ")</f>
        <v xml:space="preserve">WOOD                          </v>
      </c>
      <c r="L450" t="str">
        <f>CLEAN("C WI RAPIDS, SIGNAL REHABILITATION ")</f>
        <v xml:space="preserve">C WI RAPIDS, SIGNAL REHABILITATION </v>
      </c>
      <c r="M450" t="str">
        <f>CLEAN("VARIOUS INTERSECTIONS              ")</f>
        <v xml:space="preserve">VARIOUS INTERSECTIONS              </v>
      </c>
      <c r="N450">
        <v>0</v>
      </c>
      <c r="O450" t="str">
        <f t="shared" si="168"/>
        <v xml:space="preserve">          </v>
      </c>
      <c r="P450" t="str">
        <f t="shared" si="164"/>
        <v xml:space="preserve">INTELLIGENT TRANSPORTATION SYSTEMS (ITS)                                                            </v>
      </c>
    </row>
    <row r="451" spans="1:16" x14ac:dyDescent="0.25">
      <c r="A451" t="str">
        <f t="shared" si="166"/>
        <v>10</v>
      </c>
      <c r="B451" t="str">
        <f t="shared" si="167"/>
        <v>24</v>
      </c>
      <c r="C451" s="1">
        <v>45925</v>
      </c>
      <c r="D451" t="str">
        <f>CLEAN("3700-40-47")</f>
        <v>3700-40-47</v>
      </c>
      <c r="E451" t="str">
        <f t="shared" si="161"/>
        <v xml:space="preserve">305  </v>
      </c>
      <c r="F451" t="str">
        <f>CLEAN("$250,000 - $499,999      ")</f>
        <v xml:space="preserve">$250,000 - $499,999      </v>
      </c>
      <c r="G451" t="str">
        <f t="shared" si="162"/>
        <v>MIS</v>
      </c>
      <c r="H451" t="str">
        <f t="shared" si="163"/>
        <v>NONLET CONSTR/REAL ESTATE</v>
      </c>
      <c r="I451" t="str">
        <f>CLEAN("TRF OPS/ITS/STANDALONE PROGRAM     ")</f>
        <v xml:space="preserve">TRF OPS/ITS/STANDALONE PROGRAM     </v>
      </c>
      <c r="J451" t="str">
        <f>CLEAN("VAR HWY")</f>
        <v>VAR HWY</v>
      </c>
      <c r="K451" t="str">
        <f>CLEAN("SHAWANO                       ")</f>
        <v xml:space="preserve">SHAWANO                       </v>
      </c>
      <c r="L451" t="str">
        <f>CLEAN("C SHAWANO, SIGNAL REHABILITATION   ")</f>
        <v xml:space="preserve">C SHAWANO, SIGNAL REHABILITATION   </v>
      </c>
      <c r="M451" t="str">
        <f>CLEAN("STH 22/47/55/LINCOLN ST INTERSECT  ")</f>
        <v xml:space="preserve">STH 22/47/55/LINCOLN ST INTERSECT  </v>
      </c>
      <c r="N451">
        <v>0</v>
      </c>
      <c r="O451" t="str">
        <f t="shared" si="168"/>
        <v xml:space="preserve">          </v>
      </c>
      <c r="P451" t="str">
        <f t="shared" si="164"/>
        <v xml:space="preserve">INTELLIGENT TRANSPORTATION SYSTEMS (ITS)                                                            </v>
      </c>
    </row>
    <row r="452" spans="1:16" x14ac:dyDescent="0.25">
      <c r="A452" t="str">
        <f t="shared" si="166"/>
        <v>10</v>
      </c>
      <c r="B452" t="str">
        <f t="shared" si="167"/>
        <v>24</v>
      </c>
      <c r="C452" s="1">
        <v>45925</v>
      </c>
      <c r="D452" t="str">
        <f>CLEAN("3700-40-48")</f>
        <v>3700-40-48</v>
      </c>
      <c r="E452" t="str">
        <f t="shared" si="161"/>
        <v xml:space="preserve">305  </v>
      </c>
      <c r="F452" t="str">
        <f>CLEAN("$250,000 - $499,999      ")</f>
        <v xml:space="preserve">$250,000 - $499,999      </v>
      </c>
      <c r="G452" t="str">
        <f t="shared" si="162"/>
        <v>MIS</v>
      </c>
      <c r="H452" t="str">
        <f t="shared" si="163"/>
        <v>NONLET CONSTR/REAL ESTATE</v>
      </c>
      <c r="I452" t="str">
        <f>CLEAN("TRF OPS/ITS/STANDALONE PROGRAM     ")</f>
        <v xml:space="preserve">TRF OPS/ITS/STANDALONE PROGRAM     </v>
      </c>
      <c r="J452" t="str">
        <f>CLEAN("VAR HWY")</f>
        <v>VAR HWY</v>
      </c>
      <c r="K452" t="str">
        <f>CLEAN("SHAWANO                       ")</f>
        <v xml:space="preserve">SHAWANO                       </v>
      </c>
      <c r="L452" t="str">
        <f>CLEAN("C SHAWANO, SIGNAL REHABILITATION   ")</f>
        <v xml:space="preserve">C SHAWANO, SIGNAL REHABILITATION   </v>
      </c>
      <c r="M452" t="str">
        <f>CLEAN("STH 22/47/55/FAIRVIEW AVE INTERSECT")</f>
        <v>STH 22/47/55/FAIRVIEW AVE INTERSECT</v>
      </c>
      <c r="N452">
        <v>0</v>
      </c>
      <c r="O452" t="str">
        <f t="shared" si="168"/>
        <v xml:space="preserve">          </v>
      </c>
      <c r="P452" t="str">
        <f t="shared" si="164"/>
        <v xml:space="preserve">INTELLIGENT TRANSPORTATION SYSTEMS (ITS)                                                            </v>
      </c>
    </row>
    <row r="453" spans="1:16" x14ac:dyDescent="0.25">
      <c r="A453" t="str">
        <f t="shared" si="166"/>
        <v>10</v>
      </c>
      <c r="B453" t="str">
        <f>CLEAN("25")</f>
        <v>25</v>
      </c>
      <c r="C453" s="1">
        <v>45955</v>
      </c>
      <c r="D453" t="str">
        <f>CLEAN("3700-50-86")</f>
        <v>3700-50-86</v>
      </c>
      <c r="E453" t="str">
        <f t="shared" si="161"/>
        <v xml:space="preserve">305  </v>
      </c>
      <c r="F453" t="str">
        <f>CLEAN("$0 - $99,999             ")</f>
        <v xml:space="preserve">$0 - $99,999             </v>
      </c>
      <c r="G453" t="str">
        <f t="shared" si="162"/>
        <v>MIS</v>
      </c>
      <c r="H453" t="str">
        <f t="shared" si="163"/>
        <v>NONLET CONSTR/REAL ESTATE</v>
      </c>
      <c r="I453" t="str">
        <f>CLEAN("MISC/LED REPLACEMENTS FY2026       ")</f>
        <v xml:space="preserve">MISC/LED REPLACEMENTS FY2026       </v>
      </c>
      <c r="J453" t="str">
        <f>CLEAN("VAR HWY")</f>
        <v>VAR HWY</v>
      </c>
      <c r="K453" t="str">
        <f>CLEAN("NORTHWEST REGION WIDE         ")</f>
        <v xml:space="preserve">NORTHWEST REGION WIDE         </v>
      </c>
      <c r="L453" t="str">
        <f>CLEAN("NW REGION, VARIOUS HIGHWAYS        ")</f>
        <v xml:space="preserve">NW REGION, VARIOUS HIGHWAYS        </v>
      </c>
      <c r="M453" t="str">
        <f>CLEAN("TRAFFIC SIGNAL LED REPLACEMENTS    ")</f>
        <v xml:space="preserve">TRAFFIC SIGNAL LED REPLACEMENTS    </v>
      </c>
      <c r="N453">
        <v>0</v>
      </c>
      <c r="O453" t="str">
        <f t="shared" si="168"/>
        <v xml:space="preserve">          </v>
      </c>
      <c r="P453" t="str">
        <f t="shared" si="164"/>
        <v xml:space="preserve">INTELLIGENT TRANSPORTATION SYSTEMS (ITS)                                                            </v>
      </c>
    </row>
    <row r="454" spans="1:16" x14ac:dyDescent="0.25">
      <c r="A454" t="str">
        <f t="shared" si="166"/>
        <v>10</v>
      </c>
      <c r="B454" t="str">
        <f>CLEAN("25")</f>
        <v>25</v>
      </c>
      <c r="C454" s="1">
        <v>46016</v>
      </c>
      <c r="D454" t="str">
        <f>CLEAN("3700-50-90")</f>
        <v>3700-50-90</v>
      </c>
      <c r="E454" t="str">
        <f t="shared" si="161"/>
        <v xml:space="preserve">305  </v>
      </c>
      <c r="F454" t="str">
        <f>CLEAN("$100,000-$249,999        ")</f>
        <v xml:space="preserve">$100,000-$249,999        </v>
      </c>
      <c r="G454" t="str">
        <f t="shared" si="162"/>
        <v>MIS</v>
      </c>
      <c r="H454" t="str">
        <f t="shared" si="163"/>
        <v>NONLET CONSTR/REAL ESTATE</v>
      </c>
      <c r="I454" t="str">
        <f>CLEAN("TRF OPS/SGNL CABINET UPGRADES/SFY26")</f>
        <v>TRF OPS/SGNL CABINET UPGRADES/SFY26</v>
      </c>
      <c r="J454" t="str">
        <f>CLEAN("VAR HWY")</f>
        <v>VAR HWY</v>
      </c>
      <c r="K454" t="str">
        <f>CLEAN("NORTHWEST REGION WIDE         ")</f>
        <v xml:space="preserve">NORTHWEST REGION WIDE         </v>
      </c>
      <c r="L454" t="str">
        <f>CLEAN("NWREGION,VAR SGNLIZED INTERSECTIONS")</f>
        <v>NWREGION,VAR SGNLIZED INTERSECTIONS</v>
      </c>
      <c r="M454" t="str">
        <f>CLEAN("VAR HWY &amp; LOC/SGNL CABINET UPGRADES")</f>
        <v>VAR HWY &amp; LOC/SGNL CABINET UPGRADES</v>
      </c>
      <c r="N454">
        <v>0</v>
      </c>
      <c r="O454" t="str">
        <f t="shared" si="168"/>
        <v xml:space="preserve">          </v>
      </c>
      <c r="P454" t="str">
        <f t="shared" si="164"/>
        <v xml:space="preserve">INTELLIGENT TRANSPORTATION SYSTEMS (ITS)                                                            </v>
      </c>
    </row>
    <row r="455" spans="1:16" x14ac:dyDescent="0.25">
      <c r="A455" t="str">
        <f t="shared" si="166"/>
        <v>10</v>
      </c>
      <c r="B455" t="str">
        <f>CLEAN("25")</f>
        <v>25</v>
      </c>
      <c r="C455" s="1">
        <v>46259</v>
      </c>
      <c r="D455" t="str">
        <f>CLEAN("3700-50-98")</f>
        <v>3700-50-98</v>
      </c>
      <c r="E455" t="str">
        <f t="shared" si="161"/>
        <v xml:space="preserve">305  </v>
      </c>
      <c r="F455" t="str">
        <f>CLEAN("$100,000-$249,999        ")</f>
        <v xml:space="preserve">$100,000-$249,999        </v>
      </c>
      <c r="G455" t="str">
        <f t="shared" si="162"/>
        <v>MIS</v>
      </c>
      <c r="H455" t="str">
        <f t="shared" si="163"/>
        <v>NONLET CONSTR/REAL ESTATE</v>
      </c>
      <c r="I455" t="str">
        <f>CLEAN("MIS CONSTRUCTION/ITS INSTALLATIONS ")</f>
        <v xml:space="preserve">MIS CONSTRUCTION/ITS INSTALLATIONS </v>
      </c>
      <c r="J455" t="str">
        <f>CLEAN("STH 029")</f>
        <v>STH 029</v>
      </c>
      <c r="K455" t="str">
        <f>CLEAN("CHIPPEWA                      ")</f>
        <v xml:space="preserve">CHIPPEWA                      </v>
      </c>
      <c r="L455" t="str">
        <f>CLEAN("CHIPPEWA COUNTY, STH 29            ")</f>
        <v xml:space="preserve">CHIPPEWA COUNTY, STH 29            </v>
      </c>
      <c r="M455" t="str">
        <f>CLEAN("CTH T &amp; STH 178 INTERCHANGES       ")</f>
        <v xml:space="preserve">CTH T &amp; STH 178 INTERCHANGES       </v>
      </c>
      <c r="N455">
        <v>0</v>
      </c>
      <c r="O455" t="str">
        <f t="shared" si="168"/>
        <v xml:space="preserve">          </v>
      </c>
      <c r="P455" t="str">
        <f t="shared" si="164"/>
        <v xml:space="preserve">INTELLIGENT TRANSPORTATION SYSTEMS (ITS)                                                            </v>
      </c>
    </row>
    <row r="456" spans="1:16" x14ac:dyDescent="0.25">
      <c r="A456" t="str">
        <f t="shared" si="166"/>
        <v>10</v>
      </c>
      <c r="B456" t="str">
        <f>CLEAN("25")</f>
        <v>25</v>
      </c>
      <c r="C456" s="1">
        <v>45894</v>
      </c>
      <c r="D456" t="str">
        <f>CLEAN("3700-50-99")</f>
        <v>3700-50-99</v>
      </c>
      <c r="E456" t="str">
        <f t="shared" si="161"/>
        <v xml:space="preserve">305  </v>
      </c>
      <c r="F456" t="str">
        <f>CLEAN("$100,000-$249,999        ")</f>
        <v xml:space="preserve">$100,000-$249,999        </v>
      </c>
      <c r="G456" t="str">
        <f t="shared" si="162"/>
        <v>MIS</v>
      </c>
      <c r="H456" t="str">
        <f t="shared" si="163"/>
        <v>NONLET CONSTR/REAL ESTATE</v>
      </c>
      <c r="I456" t="str">
        <f>CLEAN("ITS/ADVANCED RADAR DETECTION       ")</f>
        <v xml:space="preserve">ITS/ADVANCED RADAR DETECTION       </v>
      </c>
      <c r="J456" t="str">
        <f>CLEAN("VAR HWY")</f>
        <v>VAR HWY</v>
      </c>
      <c r="K456" t="str">
        <f>CLEAN("NORTHWEST REGION WIDE         ")</f>
        <v xml:space="preserve">NORTHWEST REGION WIDE         </v>
      </c>
      <c r="L456" t="str">
        <f>CLEAN("NW REGION, ADVANCED RADAR DETECTION")</f>
        <v>NW REGION, ADVANCED RADAR DETECTION</v>
      </c>
      <c r="M456" t="str">
        <f>CLEAN("VARIOUS HIGHWAYS AND LOCATIONS     ")</f>
        <v xml:space="preserve">VARIOUS HIGHWAYS AND LOCATIONS     </v>
      </c>
      <c r="N456">
        <v>0</v>
      </c>
      <c r="O456" t="str">
        <f t="shared" si="168"/>
        <v xml:space="preserve">          </v>
      </c>
      <c r="P456" t="str">
        <f t="shared" si="164"/>
        <v xml:space="preserve">INTELLIGENT TRANSPORTATION SYSTEMS (ITS)                                                            </v>
      </c>
    </row>
    <row r="457" spans="1:16" x14ac:dyDescent="0.25">
      <c r="A457" t="str">
        <f t="shared" si="166"/>
        <v>10</v>
      </c>
      <c r="B457" t="str">
        <f>CLEAN("25")</f>
        <v>25</v>
      </c>
      <c r="C457" s="1">
        <v>46259</v>
      </c>
      <c r="D457" t="str">
        <f>CLEAN("3700-51-01")</f>
        <v>3700-51-01</v>
      </c>
      <c r="E457" t="str">
        <f t="shared" si="161"/>
        <v xml:space="preserve">305  </v>
      </c>
      <c r="F457" t="str">
        <f>CLEAN("$0 - $99,999             ")</f>
        <v xml:space="preserve">$0 - $99,999             </v>
      </c>
      <c r="G457" t="str">
        <f t="shared" si="162"/>
        <v>MIS</v>
      </c>
      <c r="H457" t="str">
        <f t="shared" si="163"/>
        <v>NONLET CONSTR/REAL ESTATE</v>
      </c>
      <c r="I457" t="str">
        <f>CLEAN("CONSTR/INTERSECTION COMMUNICATIONS ")</f>
        <v xml:space="preserve">CONSTR/INTERSECTION COMMUNICATIONS </v>
      </c>
      <c r="J457" t="str">
        <f>CLEAN("STH 178")</f>
        <v>STH 178</v>
      </c>
      <c r="K457" t="str">
        <f>CLEAN("CHIPPEWA                      ")</f>
        <v xml:space="preserve">CHIPPEWA                      </v>
      </c>
      <c r="L457" t="str">
        <f>CLEAN("C CHIPPEWA FALLS, STH 178          ")</f>
        <v xml:space="preserve">C CHIPPEWA FALLS, STH 178          </v>
      </c>
      <c r="M457" t="str">
        <f>CLEAN("CTH J TO OLSON DRIVE               ")</f>
        <v xml:space="preserve">CTH J TO OLSON DRIVE               </v>
      </c>
      <c r="N457">
        <v>0</v>
      </c>
      <c r="O457" t="str">
        <f t="shared" si="168"/>
        <v xml:space="preserve">          </v>
      </c>
      <c r="P457" t="str">
        <f t="shared" si="164"/>
        <v xml:space="preserve">INTELLIGENT TRANSPORTATION SYSTEMS (ITS)                                                            </v>
      </c>
    </row>
    <row r="458" spans="1:16" x14ac:dyDescent="0.25">
      <c r="A458" t="str">
        <f t="shared" si="166"/>
        <v>10</v>
      </c>
      <c r="B458" t="str">
        <f>CLEAN("22")</f>
        <v>22</v>
      </c>
      <c r="C458" s="1">
        <v>46137</v>
      </c>
      <c r="D458" t="str">
        <f>CLEAN("3738-09-20")</f>
        <v>3738-09-20</v>
      </c>
      <c r="E458" t="str">
        <f>CLEAN("303  ")</f>
        <v xml:space="preserve">303  </v>
      </c>
      <c r="F458" t="str">
        <f>CLEAN("$500,000 - $749,999      ")</f>
        <v xml:space="preserve">$500,000 - $749,999      </v>
      </c>
      <c r="G458" t="str">
        <f>CLEAN("R/E")</f>
        <v>R/E</v>
      </c>
      <c r="H458" t="str">
        <f t="shared" si="163"/>
        <v>NONLET CONSTR/REAL ESTATE</v>
      </c>
      <c r="I458" t="str">
        <f>CLEAN("RE/PAVE REPLACE                    ")</f>
        <v xml:space="preserve">RE/PAVE REPLACE                    </v>
      </c>
      <c r="J458" t="str">
        <f>CLEAN("STH 165")</f>
        <v>STH 165</v>
      </c>
      <c r="K458" t="str">
        <f>CLEAN("KENOSHA                       ")</f>
        <v xml:space="preserve">KENOSHA                       </v>
      </c>
      <c r="L458" t="str">
        <f>CLEAN("V PLEASANT PRAIRIE, 104TH STREET   ")</f>
        <v xml:space="preserve">V PLEASANT PRAIRIE, 104TH STREET   </v>
      </c>
      <c r="M458" t="str">
        <f>CLEAN("E OF CTH EZ TO STH 32              ")</f>
        <v xml:space="preserve">E OF CTH EZ TO STH 32              </v>
      </c>
      <c r="N458">
        <v>1.4450000000000001</v>
      </c>
      <c r="O458" t="str">
        <f t="shared" si="168"/>
        <v xml:space="preserve">          </v>
      </c>
      <c r="P458" t="str">
        <f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459" spans="1:16" x14ac:dyDescent="0.25">
      <c r="A459" t="str">
        <f t="shared" si="166"/>
        <v>10</v>
      </c>
      <c r="B459" t="str">
        <f>CLEAN("22")</f>
        <v>22</v>
      </c>
      <c r="C459" s="1">
        <v>45909</v>
      </c>
      <c r="D459" t="str">
        <f>CLEAN("3742-03-70")</f>
        <v>3742-03-70</v>
      </c>
      <c r="E459" t="str">
        <f>CLEAN("303  ")</f>
        <v xml:space="preserve">303  </v>
      </c>
      <c r="F459" t="str">
        <f>CLEAN("$1,000,000 - $1,999,999  ")</f>
        <v xml:space="preserve">$1,000,000 - $1,999,999  </v>
      </c>
      <c r="G459" t="str">
        <f>CLEAN("LET")</f>
        <v>LET</v>
      </c>
      <c r="H459" t="str">
        <f>CLEAN("LET CONSTRUCTION         ")</f>
        <v xml:space="preserve">LET CONSTRUCTION         </v>
      </c>
      <c r="I459" t="str">
        <f>CLEAN("CONST/MISC                         ")</f>
        <v xml:space="preserve">CONST/MISC                         </v>
      </c>
      <c r="J459" t="str">
        <f>CLEAN("VAR HWY")</f>
        <v>VAR HWY</v>
      </c>
      <c r="K459" t="str">
        <f>CLEAN("SOUTHEAST REGION WIDE         ")</f>
        <v xml:space="preserve">SOUTHEAST REGION WIDE         </v>
      </c>
      <c r="L459" t="str">
        <f>CLEAN("SER TREE CLEARING PROJECT          ")</f>
        <v xml:space="preserve">SER TREE CLEARING PROJECT          </v>
      </c>
      <c r="M459" t="str">
        <f>CLEAN("VARIOUS SER COUNTIES               ")</f>
        <v xml:space="preserve">VARIOUS SER COUNTIES               </v>
      </c>
      <c r="N459">
        <v>0</v>
      </c>
      <c r="O459" t="str">
        <f t="shared" si="168"/>
        <v xml:space="preserve">          </v>
      </c>
      <c r="P459" t="str">
        <f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460" spans="1:16" x14ac:dyDescent="0.25">
      <c r="A460" t="str">
        <f t="shared" si="166"/>
        <v>10</v>
      </c>
      <c r="B460" t="str">
        <f>CLEAN("22")</f>
        <v>22</v>
      </c>
      <c r="C460" s="1">
        <v>46063</v>
      </c>
      <c r="D460" t="str">
        <f>CLEAN("3751-03-70")</f>
        <v>3751-03-70</v>
      </c>
      <c r="E460" t="str">
        <f>CLEAN("206  ")</f>
        <v xml:space="preserve">206  </v>
      </c>
      <c r="F460" t="str">
        <f>CLEAN("$5,000,000 - $5,999,999  ")</f>
        <v xml:space="preserve">$5,000,000 - $5,999,999  </v>
      </c>
      <c r="G460" t="str">
        <f>CLEAN("LET")</f>
        <v>LET</v>
      </c>
      <c r="H460" t="str">
        <f>CLEAN("LET CONSTRUCTION         ")</f>
        <v xml:space="preserve">LET CONSTRUCTION         </v>
      </c>
      <c r="I460" t="str">
        <f>CLEAN("CONST/RECONDITION                  ")</f>
        <v xml:space="preserve">CONST/RECONDITION                  </v>
      </c>
      <c r="J460" t="str">
        <f>CLEAN("CTH W  ")</f>
        <v xml:space="preserve">CTH W  </v>
      </c>
      <c r="K460" t="str">
        <f>CLEAN("KENOSHA                       ")</f>
        <v xml:space="preserve">KENOSHA                       </v>
      </c>
      <c r="L460" t="str">
        <f>CLEAN("RANDALL - SALEM LAKES              ")</f>
        <v xml:space="preserve">RANDALL - SALEM LAKES              </v>
      </c>
      <c r="M460" t="str">
        <f>CLEAN("ILL STATE LINE TO CTH C EAST       ")</f>
        <v xml:space="preserve">ILL STATE LINE TO CTH C EAST       </v>
      </c>
      <c r="N460">
        <v>1.532</v>
      </c>
      <c r="O460" t="str">
        <f t="shared" si="168"/>
        <v xml:space="preserve">          </v>
      </c>
      <c r="P460" t="str">
        <f>CLEAN("STP URBAN OVER 200,000                                                                              ")</f>
        <v xml:space="preserve">STP URBAN OVER 200,000                                                                              </v>
      </c>
    </row>
    <row r="461" spans="1:16" x14ac:dyDescent="0.25">
      <c r="A461" t="str">
        <f t="shared" si="166"/>
        <v>10</v>
      </c>
      <c r="B461" t="str">
        <f>CLEAN("22")</f>
        <v>22</v>
      </c>
      <c r="C461" s="1">
        <v>45894</v>
      </c>
      <c r="D461" t="str">
        <f>CLEAN("3830-03-50")</f>
        <v>3830-03-50</v>
      </c>
      <c r="E461" t="str">
        <f>CLEAN("209  ")</f>
        <v xml:space="preserve">209  </v>
      </c>
      <c r="F461" t="str">
        <f>CLEAN("$1,000,000 - $1,999,999  ")</f>
        <v xml:space="preserve">$1,000,000 - $1,999,999  </v>
      </c>
      <c r="G461" t="str">
        <f>CLEAN("ATR")</f>
        <v>ATR</v>
      </c>
      <c r="H461" t="str">
        <f>CLEAN("NONLET CONSTR/REAL ESTATE")</f>
        <v>NONLET CONSTR/REAL ESTATE</v>
      </c>
      <c r="I461" t="str">
        <f>CLEAN("RR/SPUR CONSTRUCTION               ")</f>
        <v xml:space="preserve">RR/SPUR CONSTRUCTION               </v>
      </c>
      <c r="J461" t="str">
        <f>CLEAN("NON HWY")</f>
        <v>NON HWY</v>
      </c>
      <c r="K461" t="str">
        <f>CLEAN("KENOSHA                       ")</f>
        <v xml:space="preserve">KENOSHA                       </v>
      </c>
      <c r="L461" t="str">
        <f>CLEAN("UP RAIL SPUR/BALCAN                ")</f>
        <v xml:space="preserve">UP RAIL SPUR/BALCAN                </v>
      </c>
      <c r="M461" t="str">
        <f>CLEAN("72ND AND 108TH ST                  ")</f>
        <v xml:space="preserve">72ND AND 108TH ST                  </v>
      </c>
      <c r="N461">
        <v>3.9E-2</v>
      </c>
      <c r="O461" t="str">
        <f t="shared" si="168"/>
        <v xml:space="preserve">          </v>
      </c>
      <c r="P461" t="str">
        <f>CLEAN("TRANS ECONOMIC ASSISTANCE (TEA)                                                                     ")</f>
        <v xml:space="preserve">TRANS ECONOMIC ASSISTANCE (TEA)                                                                     </v>
      </c>
    </row>
    <row r="462" spans="1:16" x14ac:dyDescent="0.25">
      <c r="A462" t="str">
        <f t="shared" si="166"/>
        <v>10</v>
      </c>
      <c r="B462" t="str">
        <f>CLEAN("22")</f>
        <v>22</v>
      </c>
      <c r="C462" s="1">
        <v>45972</v>
      </c>
      <c r="D462" t="str">
        <f>CLEAN("3832-01-71")</f>
        <v>3832-01-71</v>
      </c>
      <c r="E462" t="str">
        <f>CLEAN("206  ")</f>
        <v xml:space="preserve">206  </v>
      </c>
      <c r="F462" t="str">
        <f>CLEAN("$4,000,000 - $4,999,999  ")</f>
        <v xml:space="preserve">$4,000,000 - $4,999,999  </v>
      </c>
      <c r="G462" t="str">
        <f>CLEAN("LET")</f>
        <v>LET</v>
      </c>
      <c r="H462" t="str">
        <f>CLEAN("LET CONSTRUCTION         ")</f>
        <v xml:space="preserve">LET CONSTRUCTION         </v>
      </c>
      <c r="I462" t="str">
        <f>CLEAN("CONST/RECONSTRUCT                  ")</f>
        <v xml:space="preserve">CONST/RECONSTRUCT                  </v>
      </c>
      <c r="J462" t="str">
        <f>CLEAN("LOC STR")</f>
        <v>LOC STR</v>
      </c>
      <c r="K462" t="str">
        <f>CLEAN("KENOSHA                       ")</f>
        <v xml:space="preserve">KENOSHA                       </v>
      </c>
      <c r="L462" t="str">
        <f>CLEAN("C KENOSHA, 22ND AVE                ")</f>
        <v xml:space="preserve">C KENOSHA, 22ND AVE                </v>
      </c>
      <c r="M462" t="str">
        <f>CLEAN("50TH ST TO WASHINGTON RD           ")</f>
        <v xml:space="preserve">50TH ST TO WASHINGTON RD           </v>
      </c>
      <c r="N462">
        <v>0.69199999999999995</v>
      </c>
      <c r="O462" t="str">
        <f t="shared" si="168"/>
        <v xml:space="preserve">          </v>
      </c>
      <c r="P462" t="str">
        <f>CLEAN("STP URBAN 50,000 - 200,000                                                                          ")</f>
        <v xml:space="preserve">STP URBAN 50,000 - 200,000                                                                          </v>
      </c>
    </row>
    <row r="463" spans="1:16" x14ac:dyDescent="0.25">
      <c r="A463" t="str">
        <f t="shared" si="166"/>
        <v>10</v>
      </c>
      <c r="B463" t="str">
        <f>CLEAN("16")</f>
        <v>16</v>
      </c>
      <c r="C463" s="1">
        <v>46106</v>
      </c>
      <c r="D463" t="str">
        <f>CLEAN("3832-05-60")</f>
        <v>3832-05-60</v>
      </c>
      <c r="E463" t="str">
        <f>CLEAN("303  ")</f>
        <v xml:space="preserve">303  </v>
      </c>
      <c r="F463" t="str">
        <f>CLEAN("$1,000,000 - $1,999,999  ")</f>
        <v xml:space="preserve">$1,000,000 - $1,999,999  </v>
      </c>
      <c r="G463" t="str">
        <f>CLEAN("MIS")</f>
        <v>MIS</v>
      </c>
      <c r="H463" t="str">
        <f>CLEAN("NONLET CONSTR/REAL ESTATE")</f>
        <v>NONLET CONSTR/REAL ESTATE</v>
      </c>
      <c r="I463" t="str">
        <f>CLEAN("WATERMAIN DESIGN/CONSTRUCTION      ")</f>
        <v xml:space="preserve">WATERMAIN DESIGN/CONSTRUCTION      </v>
      </c>
      <c r="J463" t="str">
        <f>CLEAN("NON HWY")</f>
        <v>NON HWY</v>
      </c>
      <c r="K463" t="str">
        <f>CLEAN("KENOSHA                       ")</f>
        <v xml:space="preserve">KENOSHA                       </v>
      </c>
      <c r="L463" t="str">
        <f>CLEAN("WATER MAIN EXTENSION               ")</f>
        <v xml:space="preserve">WATER MAIN EXTENSION               </v>
      </c>
      <c r="M463" t="str">
        <f>CLEAN("SWEF 21 KENOSHA                    ")</f>
        <v xml:space="preserve">SWEF 21 KENOSHA                    </v>
      </c>
      <c r="N463">
        <v>0</v>
      </c>
      <c r="O463" t="str">
        <f t="shared" si="168"/>
        <v xml:space="preserve">          </v>
      </c>
      <c r="P463" t="str">
        <f>CLEAN("ROADSIDE FACILITIES                                                                                 ")</f>
        <v xml:space="preserve">ROADSIDE FACILITIES                                                                                 </v>
      </c>
    </row>
    <row r="464" spans="1:16" x14ac:dyDescent="0.25">
      <c r="A464" t="str">
        <f t="shared" si="166"/>
        <v>10</v>
      </c>
      <c r="B464" t="str">
        <f t="shared" ref="B464:B477" si="169">CLEAN("22")</f>
        <v>22</v>
      </c>
      <c r="C464" s="1">
        <v>45972</v>
      </c>
      <c r="D464" t="str">
        <f>CLEAN("3834-00-73")</f>
        <v>3834-00-73</v>
      </c>
      <c r="E464" t="str">
        <f>CLEAN("206  ")</f>
        <v xml:space="preserve">206  </v>
      </c>
      <c r="F464" t="str">
        <f>CLEAN("$250,000 - $499,999      ")</f>
        <v xml:space="preserve">$250,000 - $499,999      </v>
      </c>
      <c r="G464" t="str">
        <f>CLEAN("LET")</f>
        <v>LET</v>
      </c>
      <c r="H464" t="str">
        <f>CLEAN("LET CONSTRUCTION         ")</f>
        <v xml:space="preserve">LET CONSTRUCTION         </v>
      </c>
      <c r="I464" t="str">
        <f>CLEAN("CONST/RCND10                       ")</f>
        <v xml:space="preserve">CONST/RCND10                       </v>
      </c>
      <c r="J464" t="str">
        <f>CLEAN("LOC STR")</f>
        <v>LOC STR</v>
      </c>
      <c r="K464" t="str">
        <f>CLEAN("RACINE                        ")</f>
        <v xml:space="preserve">RACINE                        </v>
      </c>
      <c r="L464" t="str">
        <f>CLEAN("T BURLINGTON, BOHNER DR            ")</f>
        <v xml:space="preserve">T BURLINGTON, BOHNER DR            </v>
      </c>
      <c r="M464" t="str">
        <f>CLEAN("FISHMAN RD TO FISH HATCHERY RD     ")</f>
        <v xml:space="preserve">FISHMAN RD TO FISH HATCHERY RD     </v>
      </c>
      <c r="N464">
        <v>0.83299999999999996</v>
      </c>
      <c r="O464" t="str">
        <f t="shared" si="168"/>
        <v xml:space="preserve">          </v>
      </c>
      <c r="P464" t="str">
        <f>CLEAN("STP URBAN 20,000 - 50,000                                                                           ")</f>
        <v xml:space="preserve">STP URBAN 20,000 - 50,000                                                                           </v>
      </c>
    </row>
    <row r="465" spans="1:16" x14ac:dyDescent="0.25">
      <c r="A465" t="str">
        <f t="shared" si="166"/>
        <v>10</v>
      </c>
      <c r="B465" t="str">
        <f t="shared" si="169"/>
        <v>22</v>
      </c>
      <c r="C465" s="1">
        <v>45972</v>
      </c>
      <c r="D465" t="str">
        <f>CLEAN("3837-00-71")</f>
        <v>3837-00-71</v>
      </c>
      <c r="E465" t="str">
        <f>CLEAN("206  ")</f>
        <v xml:space="preserve">206  </v>
      </c>
      <c r="F465" t="str">
        <f>CLEAN("$1,000,000 - $1,999,999  ")</f>
        <v xml:space="preserve">$1,000,000 - $1,999,999  </v>
      </c>
      <c r="G465" t="str">
        <f>CLEAN("LET")</f>
        <v>LET</v>
      </c>
      <c r="H465" t="str">
        <f>CLEAN("LET CONSTRUCTION         ")</f>
        <v xml:space="preserve">LET CONSTRUCTION         </v>
      </c>
      <c r="I465" t="str">
        <f>CLEAN("CONST/RECONSTRUCT                  ")</f>
        <v xml:space="preserve">CONST/RECONSTRUCT                  </v>
      </c>
      <c r="J465" t="str">
        <f>CLEAN("LOC STR")</f>
        <v>LOC STR</v>
      </c>
      <c r="K465" t="str">
        <f t="shared" ref="K465:K474" si="170">CLEAN("WALWORTH                      ")</f>
        <v xml:space="preserve">WALWORTH                      </v>
      </c>
      <c r="L465" t="str">
        <f>CLEAN("T DARIEN, LAWSON SCHOOL ROAD       ")</f>
        <v xml:space="preserve">T DARIEN, LAWSON SCHOOL ROAD       </v>
      </c>
      <c r="M465" t="str">
        <f>CLEAN("CREEK ROAD TO STH 11               ")</f>
        <v xml:space="preserve">CREEK ROAD TO STH 11               </v>
      </c>
      <c r="N465">
        <v>0.75</v>
      </c>
      <c r="O465" t="str">
        <f t="shared" si="168"/>
        <v xml:space="preserve">          </v>
      </c>
      <c r="P465" t="str">
        <f>CLEAN("STP RURAL                                                                                           ")</f>
        <v xml:space="preserve">STP RURAL                                                                                           </v>
      </c>
    </row>
    <row r="466" spans="1:16" x14ac:dyDescent="0.25">
      <c r="A466" t="str">
        <f t="shared" si="166"/>
        <v>10</v>
      </c>
      <c r="B466" t="str">
        <f t="shared" si="169"/>
        <v>22</v>
      </c>
      <c r="C466" s="1">
        <v>45925</v>
      </c>
      <c r="D466" t="str">
        <f>CLEAN("3837-05-50")</f>
        <v>3837-05-50</v>
      </c>
      <c r="E466" t="str">
        <f>CLEAN("207  ")</f>
        <v xml:space="preserve">207  </v>
      </c>
      <c r="F466" t="str">
        <f>CLEAN("$0 - $99,999             ")</f>
        <v xml:space="preserve">$0 - $99,999             </v>
      </c>
      <c r="G466" t="str">
        <f>CLEAN("MIS")</f>
        <v>MIS</v>
      </c>
      <c r="H466" t="str">
        <f t="shared" ref="H466:H472" si="171">CLEAN("NONLET CONSTR/REAL ESTATE")</f>
        <v>NONLET CONSTR/REAL ESTATE</v>
      </c>
      <c r="I466" t="str">
        <f>CLEAN("RR/XING CLOSURE INCENTIVE PAYMENT  ")</f>
        <v xml:space="preserve">RR/XING CLOSURE INCENTIVE PAYMENT  </v>
      </c>
      <c r="J466" t="str">
        <f>CLEAN("LOC STR")</f>
        <v>LOC STR</v>
      </c>
      <c r="K466" t="str">
        <f t="shared" si="170"/>
        <v xml:space="preserve">WALWORTH                      </v>
      </c>
      <c r="L466" t="str">
        <f>CLEAN("VILLAGE OF DARIEN, THIRD STREET    ")</f>
        <v xml:space="preserve">VILLAGE OF DARIEN, THIRD STREET    </v>
      </c>
      <c r="M466" t="str">
        <f>CLEAN("WSOR RR XING 388229F               ")</f>
        <v xml:space="preserve">WSOR RR XING 388229F               </v>
      </c>
      <c r="N466">
        <v>0</v>
      </c>
      <c r="O466" t="str">
        <f t="shared" si="168"/>
        <v xml:space="preserve">          </v>
      </c>
      <c r="P466" t="str">
        <f>CLEAN("SAFETY - RAILROAD, ELIMINATION OF HAZARDS                                                           ")</f>
        <v xml:space="preserve">SAFETY - RAILROAD, ELIMINATION OF HAZARDS                                                           </v>
      </c>
    </row>
    <row r="467" spans="1:16" x14ac:dyDescent="0.25">
      <c r="A467" t="str">
        <f t="shared" si="166"/>
        <v>10</v>
      </c>
      <c r="B467" t="str">
        <f t="shared" si="169"/>
        <v>22</v>
      </c>
      <c r="C467" s="1">
        <v>46228</v>
      </c>
      <c r="D467" t="str">
        <f>CLEAN("3840-05-20")</f>
        <v>3840-05-20</v>
      </c>
      <c r="E467" t="str">
        <f t="shared" ref="E467:E472" si="172">CLEAN("303  ")</f>
        <v xml:space="preserve">303  </v>
      </c>
      <c r="F467" t="str">
        <f>CLEAN("$0 - $99,999             ")</f>
        <v xml:space="preserve">$0 - $99,999             </v>
      </c>
      <c r="G467" t="str">
        <f t="shared" ref="G467:G472" si="173">CLEAN("R/E")</f>
        <v>R/E</v>
      </c>
      <c r="H467" t="str">
        <f t="shared" si="171"/>
        <v>NONLET CONSTR/REAL ESTATE</v>
      </c>
      <c r="I467" t="str">
        <f>CLEAN("RE/RSRF15                          ")</f>
        <v xml:space="preserve">RE/RSRF15                          </v>
      </c>
      <c r="J467" t="str">
        <f t="shared" ref="J467:J472" si="174">CLEAN("STH 011")</f>
        <v>STH 011</v>
      </c>
      <c r="K467" t="str">
        <f t="shared" si="170"/>
        <v xml:space="preserve">WALWORTH                      </v>
      </c>
      <c r="L467" t="str">
        <f>CLEAN("C ELKHORN,WALWORTH,WISCONSIN,COURT ")</f>
        <v xml:space="preserve">C ELKHORN,WALWORTH,WISCONSIN,COURT </v>
      </c>
      <c r="M467" t="str">
        <f>CLEAN("CHURCH ST TO COBB RD               ")</f>
        <v xml:space="preserve">CHURCH ST TO COBB RD               </v>
      </c>
      <c r="N467">
        <v>1.37</v>
      </c>
      <c r="O467" t="str">
        <f t="shared" si="168"/>
        <v xml:space="preserve">          </v>
      </c>
      <c r="P467" t="str">
        <f t="shared" ref="P467:P472" si="175"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468" spans="1:16" x14ac:dyDescent="0.25">
      <c r="A468" t="str">
        <f t="shared" si="166"/>
        <v>10</v>
      </c>
      <c r="B468" t="str">
        <f t="shared" si="169"/>
        <v>22</v>
      </c>
      <c r="C468" s="1">
        <v>46228</v>
      </c>
      <c r="D468" t="str">
        <f>CLEAN("3841-05-25")</f>
        <v>3841-05-25</v>
      </c>
      <c r="E468" t="str">
        <f t="shared" si="172"/>
        <v xml:space="preserve">303  </v>
      </c>
      <c r="F468" t="str">
        <f>CLEAN("$500,000 - $749,999      ")</f>
        <v xml:space="preserve">$500,000 - $749,999      </v>
      </c>
      <c r="G468" t="str">
        <f t="shared" si="173"/>
        <v>R/E</v>
      </c>
      <c r="H468" t="str">
        <f t="shared" si="171"/>
        <v>NONLET CONSTR/REAL ESTATE</v>
      </c>
      <c r="I468" t="str">
        <f>CLEAN("RE/PVRPLA                          ")</f>
        <v xml:space="preserve">RE/PVRPLA                          </v>
      </c>
      <c r="J468" t="str">
        <f t="shared" si="174"/>
        <v>STH 011</v>
      </c>
      <c r="K468" t="str">
        <f t="shared" si="170"/>
        <v xml:space="preserve">WALWORTH                      </v>
      </c>
      <c r="L468" t="str">
        <f>CLEAN("DELAVAN-ELKHORN                    ")</f>
        <v xml:space="preserve">DELAVAN-ELKHORN                    </v>
      </c>
      <c r="M468" t="str">
        <f>CLEAN("MOUND RD TO WEST STREET            ")</f>
        <v xml:space="preserve">MOUND RD TO WEST STREET            </v>
      </c>
      <c r="N468">
        <v>3.7789999999999999</v>
      </c>
      <c r="O468" t="str">
        <f t="shared" si="168"/>
        <v xml:space="preserve">          </v>
      </c>
      <c r="P468" t="str">
        <f t="shared" si="175"/>
        <v xml:space="preserve">STATE 3R                                                                                            </v>
      </c>
    </row>
    <row r="469" spans="1:16" x14ac:dyDescent="0.25">
      <c r="A469" t="str">
        <f t="shared" si="166"/>
        <v>10</v>
      </c>
      <c r="B469" t="str">
        <f t="shared" si="169"/>
        <v>22</v>
      </c>
      <c r="C469" s="1">
        <v>46228</v>
      </c>
      <c r="D469" t="str">
        <f>CLEAN("3841-05-26")</f>
        <v>3841-05-26</v>
      </c>
      <c r="E469" t="str">
        <f t="shared" si="172"/>
        <v xml:space="preserve">303  </v>
      </c>
      <c r="F469" t="str">
        <f>CLEAN("$0 - $99,999             ")</f>
        <v xml:space="preserve">$0 - $99,999             </v>
      </c>
      <c r="G469" t="str">
        <f t="shared" si="173"/>
        <v>R/E</v>
      </c>
      <c r="H469" t="str">
        <f t="shared" si="171"/>
        <v>NONLET CONSTR/REAL ESTATE</v>
      </c>
      <c r="I469" t="str">
        <f>CLEAN("RE/RECST                           ")</f>
        <v xml:space="preserve">RE/RECST                           </v>
      </c>
      <c r="J469" t="str">
        <f t="shared" si="174"/>
        <v>STH 011</v>
      </c>
      <c r="K469" t="str">
        <f t="shared" si="170"/>
        <v xml:space="preserve">WALWORTH                      </v>
      </c>
      <c r="L469" t="str">
        <f>CLEAN("DELAVAN-ELKHORN                    ")</f>
        <v xml:space="preserve">DELAVAN-ELKHORN                    </v>
      </c>
      <c r="M469" t="str">
        <f>CLEAN("INTERSECTION WITH CTH F            ")</f>
        <v xml:space="preserve">INTERSECTION WITH CTH F            </v>
      </c>
      <c r="N469">
        <v>7.0000000000000001E-3</v>
      </c>
      <c r="O469" t="str">
        <f t="shared" si="168"/>
        <v xml:space="preserve">          </v>
      </c>
      <c r="P469" t="str">
        <f t="shared" si="175"/>
        <v xml:space="preserve">STATE 3R                                                                                            </v>
      </c>
    </row>
    <row r="470" spans="1:16" x14ac:dyDescent="0.25">
      <c r="A470" t="str">
        <f t="shared" si="166"/>
        <v>10</v>
      </c>
      <c r="B470" t="str">
        <f t="shared" si="169"/>
        <v>22</v>
      </c>
      <c r="C470" s="1">
        <v>45894</v>
      </c>
      <c r="D470" t="str">
        <f>CLEAN("3841-06-20")</f>
        <v>3841-06-20</v>
      </c>
      <c r="E470" t="str">
        <f t="shared" si="172"/>
        <v xml:space="preserve">303  </v>
      </c>
      <c r="F470" t="str">
        <f>CLEAN("$0 - $99,999             ")</f>
        <v xml:space="preserve">$0 - $99,999             </v>
      </c>
      <c r="G470" t="str">
        <f t="shared" si="173"/>
        <v>R/E</v>
      </c>
      <c r="H470" t="str">
        <f t="shared" si="171"/>
        <v>NONLET CONSTR/REAL ESTATE</v>
      </c>
      <c r="I470" t="str">
        <f>CLEAN("RE/RESURFACE                       ")</f>
        <v xml:space="preserve">RE/RESURFACE                       </v>
      </c>
      <c r="J470" t="str">
        <f t="shared" si="174"/>
        <v>STH 011</v>
      </c>
      <c r="K470" t="str">
        <f t="shared" si="170"/>
        <v xml:space="preserve">WALWORTH                      </v>
      </c>
      <c r="L470" t="str">
        <f>CLEAN("C DELAVAN, E WALWORTH AVE          ")</f>
        <v xml:space="preserve">C DELAVAN, E WALWORTH AVE          </v>
      </c>
      <c r="M470" t="str">
        <f>CLEAN("TURTLE CREEK DR-MAIN, 4TH-WRIGHT ST")</f>
        <v>TURTLE CREEK DR-MAIN, 4TH-WRIGHT ST</v>
      </c>
      <c r="N470">
        <v>1.734</v>
      </c>
      <c r="O470" t="str">
        <f t="shared" si="168"/>
        <v xml:space="preserve">          </v>
      </c>
      <c r="P470" t="str">
        <f t="shared" si="175"/>
        <v xml:space="preserve">STATE 3R                                                                                            </v>
      </c>
    </row>
    <row r="471" spans="1:16" x14ac:dyDescent="0.25">
      <c r="A471" t="str">
        <f t="shared" si="166"/>
        <v>10</v>
      </c>
      <c r="B471" t="str">
        <f t="shared" si="169"/>
        <v>22</v>
      </c>
      <c r="C471" s="1">
        <v>45894</v>
      </c>
      <c r="D471" t="str">
        <f>CLEAN("3841-06-21")</f>
        <v>3841-06-21</v>
      </c>
      <c r="E471" t="str">
        <f t="shared" si="172"/>
        <v xml:space="preserve">303  </v>
      </c>
      <c r="F471" t="str">
        <f>CLEAN("$0 - $99,999             ")</f>
        <v xml:space="preserve">$0 - $99,999             </v>
      </c>
      <c r="G471" t="str">
        <f t="shared" si="173"/>
        <v>R/E</v>
      </c>
      <c r="H471" t="str">
        <f t="shared" si="171"/>
        <v>NONLET CONSTR/REAL ESTATE</v>
      </c>
      <c r="I471" t="str">
        <f>CLEAN("RE/PVRPLA                          ")</f>
        <v xml:space="preserve">RE/PVRPLA                          </v>
      </c>
      <c r="J471" t="str">
        <f t="shared" si="174"/>
        <v>STH 011</v>
      </c>
      <c r="K471" t="str">
        <f t="shared" si="170"/>
        <v xml:space="preserve">WALWORTH                      </v>
      </c>
      <c r="L471" t="str">
        <f>CLEAN("C DELAVAN, RACINE ST               ")</f>
        <v xml:space="preserve">C DELAVAN, RACINE ST               </v>
      </c>
      <c r="M471" t="str">
        <f>CLEAN("WRIGHT ST TO MOUND RD              ")</f>
        <v xml:space="preserve">WRIGHT ST TO MOUND RD              </v>
      </c>
      <c r="N471">
        <v>0.28799999999999998</v>
      </c>
      <c r="O471" t="str">
        <f t="shared" si="168"/>
        <v xml:space="preserve">          </v>
      </c>
      <c r="P471" t="str">
        <f t="shared" si="175"/>
        <v xml:space="preserve">STATE 3R                                                                                            </v>
      </c>
    </row>
    <row r="472" spans="1:16" x14ac:dyDescent="0.25">
      <c r="A472" t="str">
        <f t="shared" si="166"/>
        <v>10</v>
      </c>
      <c r="B472" t="str">
        <f t="shared" si="169"/>
        <v>22</v>
      </c>
      <c r="C472" s="1">
        <v>45894</v>
      </c>
      <c r="D472" t="str">
        <f>CLEAN("3841-06-22")</f>
        <v>3841-06-22</v>
      </c>
      <c r="E472" t="str">
        <f t="shared" si="172"/>
        <v xml:space="preserve">303  </v>
      </c>
      <c r="F472" t="str">
        <f>CLEAN("$0 - $99,999             ")</f>
        <v xml:space="preserve">$0 - $99,999             </v>
      </c>
      <c r="G472" t="str">
        <f t="shared" si="173"/>
        <v>R/E</v>
      </c>
      <c r="H472" t="str">
        <f t="shared" si="171"/>
        <v>NONLET CONSTR/REAL ESTATE</v>
      </c>
      <c r="I472" t="str">
        <f>CLEAN("RE/PVRPLA                          ")</f>
        <v xml:space="preserve">RE/PVRPLA                          </v>
      </c>
      <c r="J472" t="str">
        <f t="shared" si="174"/>
        <v>STH 011</v>
      </c>
      <c r="K472" t="str">
        <f t="shared" si="170"/>
        <v xml:space="preserve">WALWORTH                      </v>
      </c>
      <c r="L472" t="str">
        <f>CLEAN("C DELAVAN, RACINE ST               ")</f>
        <v xml:space="preserve">C DELAVAN, RACINE ST               </v>
      </c>
      <c r="M472" t="str">
        <f>CLEAN("WRIGHT ST TO MOUND RD              ")</f>
        <v xml:space="preserve">WRIGHT ST TO MOUND RD              </v>
      </c>
      <c r="N472">
        <v>1.03</v>
      </c>
      <c r="O472" t="str">
        <f t="shared" si="168"/>
        <v xml:space="preserve">          </v>
      </c>
      <c r="P472" t="str">
        <f t="shared" si="175"/>
        <v xml:space="preserve">STATE 3R                                                                                            </v>
      </c>
    </row>
    <row r="473" spans="1:16" x14ac:dyDescent="0.25">
      <c r="A473" t="str">
        <f t="shared" si="166"/>
        <v>10</v>
      </c>
      <c r="B473" t="str">
        <f t="shared" si="169"/>
        <v>22</v>
      </c>
      <c r="C473" s="1">
        <v>46063</v>
      </c>
      <c r="D473" t="str">
        <f>CLEAN("3846-00-74")</f>
        <v>3846-00-74</v>
      </c>
      <c r="E473" t="str">
        <f>CLEAN("205  ")</f>
        <v xml:space="preserve">205  </v>
      </c>
      <c r="F473" t="str">
        <f>CLEAN("$1,000,000 - $1,999,999  ")</f>
        <v xml:space="preserve">$1,000,000 - $1,999,999  </v>
      </c>
      <c r="G473" t="str">
        <f>CLEAN("LET")</f>
        <v>LET</v>
      </c>
      <c r="H473" t="str">
        <f>CLEAN("LET CONSTRUCTION         ")</f>
        <v xml:space="preserve">LET CONSTRUCTION         </v>
      </c>
      <c r="I473" t="str">
        <f>CLEAN("CONST/BRRPL                        ")</f>
        <v xml:space="preserve">CONST/BRRPL                        </v>
      </c>
      <c r="J473" t="str">
        <f>CLEAN("LOC STR")</f>
        <v>LOC STR</v>
      </c>
      <c r="K473" t="str">
        <f t="shared" si="170"/>
        <v xml:space="preserve">WALWORTH                      </v>
      </c>
      <c r="L473" t="str">
        <f>CLEAN("T LINN - HILLSIDE ROAD             ")</f>
        <v xml:space="preserve">T LINN - HILLSIDE ROAD             </v>
      </c>
      <c r="M473" t="str">
        <f>CLEAN("BRIDGE OVER CMSTPP RAILROAD P64-101")</f>
        <v>BRIDGE OVER CMSTPP RAILROAD P64-101</v>
      </c>
      <c r="N473">
        <v>0</v>
      </c>
      <c r="O473" t="str">
        <f t="shared" si="168"/>
        <v xml:space="preserve">          </v>
      </c>
      <c r="P473" t="str">
        <f>CLEAN("LOCAL BRIDGES                                                                                       ")</f>
        <v xml:space="preserve">LOCAL BRIDGES                                                                                       </v>
      </c>
    </row>
    <row r="474" spans="1:16" x14ac:dyDescent="0.25">
      <c r="A474" t="str">
        <f t="shared" si="166"/>
        <v>10</v>
      </c>
      <c r="B474" t="str">
        <f t="shared" si="169"/>
        <v>22</v>
      </c>
      <c r="C474" s="1">
        <v>46016</v>
      </c>
      <c r="D474" t="str">
        <f>CLEAN("3847-07-70")</f>
        <v>3847-07-70</v>
      </c>
      <c r="E474" t="str">
        <f>CLEAN("290  ")</f>
        <v xml:space="preserve">290  </v>
      </c>
      <c r="F474" t="str">
        <f>CLEAN("$1,000,000 - $1,999,999  ")</f>
        <v xml:space="preserve">$1,000,000 - $1,999,999  </v>
      </c>
      <c r="G474" t="str">
        <f>CLEAN("LLC")</f>
        <v>LLC</v>
      </c>
      <c r="H474" t="str">
        <f>CLEAN("NONLET CONSTR/REAL ESTATE")</f>
        <v>NONLET CONSTR/REAL ESTATE</v>
      </c>
      <c r="I474" t="str">
        <f>CLEAN("CONST/BIKE PED TRAIL               ")</f>
        <v xml:space="preserve">CONST/BIKE PED TRAIL               </v>
      </c>
      <c r="J474" t="str">
        <f>CLEAN("NON HWY")</f>
        <v>NON HWY</v>
      </c>
      <c r="K474" t="str">
        <f t="shared" si="170"/>
        <v xml:space="preserve">WALWORTH                      </v>
      </c>
      <c r="L474" t="str">
        <f>CLEAN("EAST TROY MULTI-USE TRAIL EXTENSION")</f>
        <v>EAST TROY MULTI-USE TRAIL EXTENSION</v>
      </c>
      <c r="M474" t="str">
        <f>CLEAN("MILL POND PARK TO EXECUTIVE DRIVE  ")</f>
        <v xml:space="preserve">MILL POND PARK TO EXECUTIVE DRIVE  </v>
      </c>
      <c r="N474">
        <v>0</v>
      </c>
      <c r="O474" t="str">
        <f t="shared" si="168"/>
        <v xml:space="preserve">          </v>
      </c>
      <c r="P474" t="str">
        <f>CLEAN("TAP 5,000 - 50,000                                                                                  ")</f>
        <v xml:space="preserve">TAP 5,000 - 50,000                                                                                  </v>
      </c>
    </row>
    <row r="475" spans="1:16" x14ac:dyDescent="0.25">
      <c r="A475" t="str">
        <f t="shared" si="166"/>
        <v>10</v>
      </c>
      <c r="B475" t="str">
        <f t="shared" si="169"/>
        <v>22</v>
      </c>
      <c r="C475" s="1">
        <v>46000</v>
      </c>
      <c r="D475" t="str">
        <f>CLEAN("3852-06-70")</f>
        <v>3852-06-70</v>
      </c>
      <c r="E475" t="str">
        <f>CLEAN("205  ")</f>
        <v xml:space="preserve">205  </v>
      </c>
      <c r="F475" t="str">
        <f>CLEAN("$1,000,000 - $1,999,999  ")</f>
        <v xml:space="preserve">$1,000,000 - $1,999,999  </v>
      </c>
      <c r="G475" t="str">
        <f>CLEAN("LET")</f>
        <v>LET</v>
      </c>
      <c r="H475" t="str">
        <f>CLEAN("LET CONSTRUCTION         ")</f>
        <v xml:space="preserve">LET CONSTRUCTION         </v>
      </c>
      <c r="I475" t="str">
        <f>CLEAN("CONST/BRIDGE REPLACEMENT           ")</f>
        <v xml:space="preserve">CONST/BRIDGE REPLACEMENT           </v>
      </c>
      <c r="J475" t="str">
        <f>CLEAN("LOC STR")</f>
        <v>LOC STR</v>
      </c>
      <c r="K475" t="str">
        <f>CLEAN("WAUKESHA                      ")</f>
        <v xml:space="preserve">WAUKESHA                      </v>
      </c>
      <c r="L475" t="str">
        <f>CLEAN("C OCONOMOWOC, N LAPHAM ST          ")</f>
        <v xml:space="preserve">C OCONOMOWOC, N LAPHAM ST          </v>
      </c>
      <c r="M475" t="str">
        <f>CLEAN("OCONOMOWOC RIVER BRIDGE P67-770    ")</f>
        <v xml:space="preserve">OCONOMOWOC RIVER BRIDGE P67-770    </v>
      </c>
      <c r="N475">
        <v>0.13300000000000001</v>
      </c>
      <c r="O475" t="str">
        <f t="shared" si="168"/>
        <v xml:space="preserve">          </v>
      </c>
      <c r="P475" t="str">
        <f>CLEAN("LOCAL BRIDGES                                                                                       ")</f>
        <v xml:space="preserve">LOCAL BRIDGES                                                                                       </v>
      </c>
    </row>
    <row r="476" spans="1:16" x14ac:dyDescent="0.25">
      <c r="A476" t="str">
        <f t="shared" si="166"/>
        <v>10</v>
      </c>
      <c r="B476" t="str">
        <f t="shared" si="169"/>
        <v>22</v>
      </c>
      <c r="C476" s="1">
        <v>46016</v>
      </c>
      <c r="D476" t="str">
        <f>CLEAN("3852-07-70")</f>
        <v>3852-07-70</v>
      </c>
      <c r="E476" t="str">
        <f>CLEAN("211  ")</f>
        <v xml:space="preserve">211  </v>
      </c>
      <c r="F476" t="str">
        <f>CLEAN("$1,000,000 - $1,999,999  ")</f>
        <v xml:space="preserve">$1,000,000 - $1,999,999  </v>
      </c>
      <c r="G476" t="str">
        <f>CLEAN("LLC")</f>
        <v>LLC</v>
      </c>
      <c r="H476" t="str">
        <f>CLEAN("NONLET CONSTR/REAL ESTATE")</f>
        <v>NONLET CONSTR/REAL ESTATE</v>
      </c>
      <c r="I476" t="str">
        <f>CLEAN("CONST/MISC                         ")</f>
        <v xml:space="preserve">CONST/MISC                         </v>
      </c>
      <c r="J476" t="str">
        <f>CLEAN("NON HWY")</f>
        <v>NON HWY</v>
      </c>
      <c r="K476" t="str">
        <f>CLEAN("WAUKESHA                      ")</f>
        <v xml:space="preserve">WAUKESHA                      </v>
      </c>
      <c r="L476" t="str">
        <f>CLEAN("LAKE COUNTRY TRAIL PHASE V         ")</f>
        <v xml:space="preserve">LAKE COUNTRY TRAIL PHASE V         </v>
      </c>
      <c r="M476" t="str">
        <f>CLEAN("ROOSEVELT PARK TO WAUKESHA CO LINE ")</f>
        <v xml:space="preserve">ROOSEVELT PARK TO WAUKESHA CO LINE </v>
      </c>
      <c r="N476">
        <v>0</v>
      </c>
      <c r="O476" t="str">
        <f t="shared" si="168"/>
        <v xml:space="preserve">          </v>
      </c>
      <c r="P476" t="str">
        <f>CLEAN("CONGESTION MITIGATION AND AIR QUALITY (CMAQ)                                                        ")</f>
        <v xml:space="preserve">CONGESTION MITIGATION AND AIR QUALITY (CMAQ)                                                        </v>
      </c>
    </row>
    <row r="477" spans="1:16" x14ac:dyDescent="0.25">
      <c r="A477" t="str">
        <f t="shared" ref="A477:A508" si="176">CLEAN("10")</f>
        <v>10</v>
      </c>
      <c r="B477" t="str">
        <f t="shared" si="169"/>
        <v>22</v>
      </c>
      <c r="C477" s="1">
        <v>46228</v>
      </c>
      <c r="D477" t="str">
        <f>CLEAN("3853-05-70")</f>
        <v>3853-05-70</v>
      </c>
      <c r="E477" t="str">
        <f>CLEAN("290  ")</f>
        <v xml:space="preserve">290  </v>
      </c>
      <c r="F477" t="str">
        <f>CLEAN("$500,000 - $749,999      ")</f>
        <v xml:space="preserve">$500,000 - $749,999      </v>
      </c>
      <c r="G477" t="str">
        <f>CLEAN("LLC")</f>
        <v>LLC</v>
      </c>
      <c r="H477" t="str">
        <f>CLEAN("NONLET CONSTR/REAL ESTATE")</f>
        <v>NONLET CONSTR/REAL ESTATE</v>
      </c>
      <c r="I477" t="str">
        <f>CLEAN("CONST/BIKEPED PATH                 ")</f>
        <v xml:space="preserve">CONST/BIKEPED PATH                 </v>
      </c>
      <c r="J477" t="str">
        <f>CLEAN("NON HWY")</f>
        <v>NON HWY</v>
      </c>
      <c r="K477" t="str">
        <f>CLEAN("WAUKESHA                      ")</f>
        <v xml:space="preserve">WAUKESHA                      </v>
      </c>
      <c r="L477" t="str">
        <f>CLEAN("V SUMMIT; N DOUSMAN MULTI-USE TRAIL")</f>
        <v>V SUMMIT; N DOUSMAN MULTI-USE TRAIL</v>
      </c>
      <c r="M477" t="str">
        <f>CLEAN("GENESEE LAKE RD &amp; GENESEE LAKE PARK")</f>
        <v>GENESEE LAKE RD &amp; GENESEE LAKE PARK</v>
      </c>
      <c r="N477">
        <v>0</v>
      </c>
      <c r="O477" t="str">
        <f t="shared" si="168"/>
        <v xml:space="preserve">          </v>
      </c>
      <c r="P477" t="str">
        <f>CLEAN("TAP &lt; 5,000                                                                                         ")</f>
        <v xml:space="preserve">TAP &lt; 5,000                                                                                         </v>
      </c>
    </row>
    <row r="478" spans="1:16" x14ac:dyDescent="0.25">
      <c r="A478" t="str">
        <f t="shared" si="176"/>
        <v>10</v>
      </c>
      <c r="B478" t="str">
        <f t="shared" ref="B478:B484" si="177">CLEAN("21")</f>
        <v>21</v>
      </c>
      <c r="C478" s="1">
        <v>46091</v>
      </c>
      <c r="D478" t="str">
        <f>CLEAN("3925-00-70")</f>
        <v>3925-00-70</v>
      </c>
      <c r="E478" t="str">
        <f>CLEAN("205  ")</f>
        <v xml:space="preserve">205  </v>
      </c>
      <c r="F478" t="str">
        <f>CLEAN("$500,000 - $749,999      ")</f>
        <v xml:space="preserve">$500,000 - $749,999      </v>
      </c>
      <c r="G478" t="str">
        <f>CLEAN("LET")</f>
        <v>LET</v>
      </c>
      <c r="H478" t="str">
        <f>CLEAN("LET CONSTRUCTION         ")</f>
        <v xml:space="preserve">LET CONSTRUCTION         </v>
      </c>
      <c r="I478" t="str">
        <f>CLEAN("CONST/BRIDGE REPLACEMENT           ")</f>
        <v xml:space="preserve">CONST/BRIDGE REPLACEMENT           </v>
      </c>
      <c r="J478" t="str">
        <f>CLEAN("CTH N  ")</f>
        <v xml:space="preserve">CTH N  </v>
      </c>
      <c r="K478" t="str">
        <f>CLEAN("DODGE                         ")</f>
        <v xml:space="preserve">DODGE                         </v>
      </c>
      <c r="L478" t="str">
        <f>CLEAN("CTH P - HARTFORD                   ")</f>
        <v xml:space="preserve">CTH P - HARTFORD                   </v>
      </c>
      <c r="M478" t="str">
        <f>CLEAN("BUTLER CREEK BRIDGE B-14-0231      ")</f>
        <v xml:space="preserve">BUTLER CREEK BRIDGE B-14-0231      </v>
      </c>
      <c r="N478">
        <v>4.9000000000000002E-2</v>
      </c>
      <c r="O478" t="str">
        <f t="shared" si="168"/>
        <v xml:space="preserve">          </v>
      </c>
      <c r="P478" t="str">
        <f>CLEAN("LOCAL BRIDGES                                                                                       ")</f>
        <v xml:space="preserve">LOCAL BRIDGES                                                                                       </v>
      </c>
    </row>
    <row r="479" spans="1:16" x14ac:dyDescent="0.25">
      <c r="A479" t="str">
        <f t="shared" si="176"/>
        <v>10</v>
      </c>
      <c r="B479" t="str">
        <f t="shared" si="177"/>
        <v>21</v>
      </c>
      <c r="C479" s="1">
        <v>45894</v>
      </c>
      <c r="D479" t="str">
        <f>CLEAN("3991-00-20")</f>
        <v>3991-00-20</v>
      </c>
      <c r="E479" t="str">
        <f>CLEAN("206  ")</f>
        <v xml:space="preserve">206  </v>
      </c>
      <c r="F479" t="str">
        <f>CLEAN("$100,000-$249,999        ")</f>
        <v xml:space="preserve">$100,000-$249,999        </v>
      </c>
      <c r="G479" t="str">
        <f>CLEAN("MIS")</f>
        <v>MIS</v>
      </c>
      <c r="H479" t="str">
        <f>CLEAN("NONLET CONSTR/REAL ESTATE")</f>
        <v>NONLET CONSTR/REAL ESTATE</v>
      </c>
      <c r="I479" t="str">
        <f>CLEAN("CONST/CARBON RED-LED LIGHTING      ")</f>
        <v xml:space="preserve">CONST/CARBON RED-LED LIGHTING      </v>
      </c>
      <c r="J479" t="str">
        <f>CLEAN("STH 089")</f>
        <v>STH 089</v>
      </c>
      <c r="K479" t="str">
        <f>CLEAN("JEFFERSON                     ")</f>
        <v xml:space="preserve">JEFFERSON                     </v>
      </c>
      <c r="L479" t="str">
        <f>CLEAN("C FORT ATKINSON, MAIN STREET       ")</f>
        <v xml:space="preserve">C FORT ATKINSON, MAIN STREET       </v>
      </c>
      <c r="M479" t="str">
        <f>CLEAN("MADISON AVE TO S. 3RD ST.          ")</f>
        <v xml:space="preserve">MADISON AVE TO S. 3RD ST.          </v>
      </c>
      <c r="N479">
        <v>0</v>
      </c>
      <c r="O479" t="str">
        <f t="shared" si="168"/>
        <v xml:space="preserve">          </v>
      </c>
      <c r="P479" t="str">
        <f>CLEAN("CARBON REDUCTION  5,000 - 50,000                                                                    ")</f>
        <v xml:space="preserve">CARBON REDUCTION  5,000 - 50,000                                                                    </v>
      </c>
    </row>
    <row r="480" spans="1:16" x14ac:dyDescent="0.25">
      <c r="A480" t="str">
        <f t="shared" si="176"/>
        <v>10</v>
      </c>
      <c r="B480" t="str">
        <f t="shared" si="177"/>
        <v>21</v>
      </c>
      <c r="C480" s="1">
        <v>45925</v>
      </c>
      <c r="D480" t="str">
        <f>CLEAN("3991-00-71")</f>
        <v>3991-00-71</v>
      </c>
      <c r="E480" t="str">
        <f>CLEAN("290  ")</f>
        <v xml:space="preserve">290  </v>
      </c>
      <c r="F480" t="str">
        <f>CLEAN("$1,000,000 - $1,999,999  ")</f>
        <v xml:space="preserve">$1,000,000 - $1,999,999  </v>
      </c>
      <c r="G480" t="str">
        <f>CLEAN("LLC")</f>
        <v>LLC</v>
      </c>
      <c r="H480" t="str">
        <f>CLEAN("NONLET CONSTR/REAL ESTATE")</f>
        <v>NONLET CONSTR/REAL ESTATE</v>
      </c>
      <c r="I480" t="str">
        <f>CLEAN("PEDESTRAIN MULTI-USE PATH          ")</f>
        <v xml:space="preserve">PEDESTRAIN MULTI-USE PATH          </v>
      </c>
      <c r="J480" t="str">
        <f>CLEAN("NON HWY")</f>
        <v>NON HWY</v>
      </c>
      <c r="K480" t="str">
        <f>CLEAN("JEFFERSON                     ")</f>
        <v xml:space="preserve">JEFFERSON                     </v>
      </c>
      <c r="L480" t="str">
        <f>CLEAN("C FORT ATKINSON, S MAIN ST PATH    ")</f>
        <v xml:space="preserve">C FORT ATKINSON, S MAIN ST PATH    </v>
      </c>
      <c r="M480" t="str">
        <f>CLEAN("HACKBARTH ROAD TO ROCKWELL AVENUE  ")</f>
        <v xml:space="preserve">HACKBARTH ROAD TO ROCKWELL AVENUE  </v>
      </c>
      <c r="N480">
        <v>0.08</v>
      </c>
      <c r="O480" t="str">
        <f t="shared" si="168"/>
        <v xml:space="preserve">          </v>
      </c>
      <c r="P480" t="str">
        <f>CLEAN("TAP 5,000 - 50,000                                                                                  ")</f>
        <v xml:space="preserve">TAP 5,000 - 50,000                                                                                  </v>
      </c>
    </row>
    <row r="481" spans="1:16" x14ac:dyDescent="0.25">
      <c r="A481" t="str">
        <f t="shared" si="176"/>
        <v>10</v>
      </c>
      <c r="B481" t="str">
        <f t="shared" si="177"/>
        <v>21</v>
      </c>
      <c r="C481" s="1">
        <v>45881</v>
      </c>
      <c r="D481" t="str">
        <f>CLEAN("3996-00-10")</f>
        <v>3996-00-10</v>
      </c>
      <c r="E481" t="str">
        <f>CLEAN("206  ")</f>
        <v xml:space="preserve">206  </v>
      </c>
      <c r="F481" t="str">
        <f>CLEAN("$1,000,000 - $1,999,999  ")</f>
        <v xml:space="preserve">$1,000,000 - $1,999,999  </v>
      </c>
      <c r="G481" t="str">
        <f>CLEAN("LET")</f>
        <v>LET</v>
      </c>
      <c r="H481" t="str">
        <f>CLEAN("LET CONSTRUCTION         ")</f>
        <v xml:space="preserve">LET CONSTRUCTION         </v>
      </c>
      <c r="I481" t="str">
        <f>CLEAN("CONST/INTERSECTION IMPROVEMENTS    ")</f>
        <v xml:space="preserve">CONST/INTERSECTION IMPROVEMENTS    </v>
      </c>
      <c r="J481" t="str">
        <f>CLEAN("LOC STR")</f>
        <v>LOC STR</v>
      </c>
      <c r="K481" t="str">
        <f>CLEAN("DANE                          ")</f>
        <v xml:space="preserve">DANE                          </v>
      </c>
      <c r="L481" t="str">
        <f>CLEAN("C SUN PRAIRIE, INTERSECTION IMPRVMT")</f>
        <v>C SUN PRAIRIE, INTERSECTION IMPRVMT</v>
      </c>
      <c r="M481" t="str">
        <f>CLEAN("MAIN/WALKER;MAIN/BIRD;BIRD/LINNERUD")</f>
        <v>MAIN/WALKER;MAIN/BIRD;BIRD/LINNERUD</v>
      </c>
      <c r="N481">
        <v>0</v>
      </c>
      <c r="O481" t="str">
        <f t="shared" si="168"/>
        <v xml:space="preserve">          </v>
      </c>
      <c r="P481" t="str">
        <f>CLEAN("SAFETY (REGULAR HSIP)                                                                               ")</f>
        <v xml:space="preserve">SAFETY (REGULAR HSIP)                                                                               </v>
      </c>
    </row>
    <row r="482" spans="1:16" x14ac:dyDescent="0.25">
      <c r="A482" t="str">
        <f t="shared" si="176"/>
        <v>10</v>
      </c>
      <c r="B482" t="str">
        <f t="shared" si="177"/>
        <v>21</v>
      </c>
      <c r="C482" s="1">
        <v>45894</v>
      </c>
      <c r="D482" t="str">
        <f>CLEAN("3996-00-22")</f>
        <v>3996-00-22</v>
      </c>
      <c r="E482" t="str">
        <f>CLEAN("290  ")</f>
        <v xml:space="preserve">290  </v>
      </c>
      <c r="F482" t="str">
        <f>CLEAN("$100,000-$249,999        ")</f>
        <v xml:space="preserve">$100,000-$249,999        </v>
      </c>
      <c r="G482" t="str">
        <f>CLEAN("LLC")</f>
        <v>LLC</v>
      </c>
      <c r="H482" t="str">
        <f>CLEAN("NONLET CONSTR/REAL ESTATE")</f>
        <v>NONLET CONSTR/REAL ESTATE</v>
      </c>
      <c r="I482" t="str">
        <f>CLEAN("BICYCLE WAYFINDING SIGNS           ")</f>
        <v xml:space="preserve">BICYCLE WAYFINDING SIGNS           </v>
      </c>
      <c r="J482" t="str">
        <f>CLEAN("NON HWY")</f>
        <v>NON HWY</v>
      </c>
      <c r="K482" t="str">
        <f>CLEAN("DANE                          ")</f>
        <v xml:space="preserve">DANE                          </v>
      </c>
      <c r="L482" t="str">
        <f>CLEAN("C SUN PRAIRIE, WAYFINDING SIGNS    ")</f>
        <v xml:space="preserve">C SUN PRAIRIE, WAYFINDING SIGNS    </v>
      </c>
      <c r="M482" t="str">
        <f>CLEAN("C SUN PRAIRIE, VARIOUS LOCATIONS   ")</f>
        <v xml:space="preserve">C SUN PRAIRIE, VARIOUS LOCATIONS   </v>
      </c>
      <c r="N482">
        <v>0.24</v>
      </c>
      <c r="O482" t="str">
        <f t="shared" si="168"/>
        <v xml:space="preserve">          </v>
      </c>
      <c r="P482" t="str">
        <f>CLEAN("TAP &gt; 200,000                                                                                       ")</f>
        <v xml:space="preserve">TAP &gt; 200,000                                                                                       </v>
      </c>
    </row>
    <row r="483" spans="1:16" x14ac:dyDescent="0.25">
      <c r="A483" t="str">
        <f t="shared" si="176"/>
        <v>10</v>
      </c>
      <c r="B483" t="str">
        <f t="shared" si="177"/>
        <v>21</v>
      </c>
      <c r="C483" s="1">
        <v>45972</v>
      </c>
      <c r="D483" t="str">
        <f>CLEAN("3997-01-79")</f>
        <v>3997-01-79</v>
      </c>
      <c r="E483" t="str">
        <f>CLEAN("206  ")</f>
        <v xml:space="preserve">206  </v>
      </c>
      <c r="F483" t="str">
        <f>CLEAN("$1,000,000 - $1,999,999  ")</f>
        <v xml:space="preserve">$1,000,000 - $1,999,999  </v>
      </c>
      <c r="G483" t="str">
        <f>CLEAN("LET")</f>
        <v>LET</v>
      </c>
      <c r="H483" t="str">
        <f>CLEAN("LET CONSTRUCTION         ")</f>
        <v xml:space="preserve">LET CONSTRUCTION         </v>
      </c>
      <c r="I483" t="str">
        <f>CLEAN("CONST OPS/RECONTRUCTION            ")</f>
        <v xml:space="preserve">CONST OPS/RECONTRUCTION            </v>
      </c>
      <c r="J483" t="str">
        <f>CLEAN("LOC STR")</f>
        <v>LOC STR</v>
      </c>
      <c r="K483" t="str">
        <f>CLEAN("JEFFERSON                     ")</f>
        <v xml:space="preserve">JEFFERSON                     </v>
      </c>
      <c r="L483" t="str">
        <f>CLEAN("CITY OF WATERTOWN, DEWEY AVENUE    ")</f>
        <v xml:space="preserve">CITY OF WATERTOWN, DEWEY AVENUE    </v>
      </c>
      <c r="M483" t="str">
        <f>CLEAN("E MAIN STREET TO E DIVISON STREET  ")</f>
        <v xml:space="preserve">E MAIN STREET TO E DIVISON STREET  </v>
      </c>
      <c r="N483">
        <v>0.38</v>
      </c>
      <c r="O483" t="str">
        <f>CLEAN("3997-01-80")</f>
        <v>3997-01-80</v>
      </c>
      <c r="P483" t="str">
        <f>CLEAN("STP URBAN 20,000 - 50,000                                                                           ")</f>
        <v xml:space="preserve">STP URBAN 20,000 - 50,000                                                                           </v>
      </c>
    </row>
    <row r="484" spans="1:16" x14ac:dyDescent="0.25">
      <c r="A484" t="str">
        <f t="shared" si="176"/>
        <v>10</v>
      </c>
      <c r="B484" t="str">
        <f t="shared" si="177"/>
        <v>21</v>
      </c>
      <c r="C484" s="1">
        <v>45972</v>
      </c>
      <c r="D484" t="str">
        <f>CLEAN("3997-01-80")</f>
        <v>3997-01-80</v>
      </c>
      <c r="E484" t="str">
        <f>CLEAN("206  ")</f>
        <v xml:space="preserve">206  </v>
      </c>
      <c r="F484" t="str">
        <f>CLEAN("$1,000,000 - $1,999,999  ")</f>
        <v xml:space="preserve">$1,000,000 - $1,999,999  </v>
      </c>
      <c r="G484" t="str">
        <f>CLEAN("LET")</f>
        <v>LET</v>
      </c>
      <c r="H484" t="str">
        <f>CLEAN("LET CONSTRUCTION         ")</f>
        <v xml:space="preserve">LET CONSTRUCTION         </v>
      </c>
      <c r="I484" t="str">
        <f>CLEAN("UTL OPS/WATER MAIN                 ")</f>
        <v xml:space="preserve">UTL OPS/WATER MAIN                 </v>
      </c>
      <c r="J484" t="str">
        <f>CLEAN("LOC STR")</f>
        <v>LOC STR</v>
      </c>
      <c r="K484" t="str">
        <f>CLEAN("JEFFERSON                     ")</f>
        <v xml:space="preserve">JEFFERSON                     </v>
      </c>
      <c r="L484" t="str">
        <f>CLEAN("CITY OF WATERTOWN, DEWEY AVENUE    ")</f>
        <v xml:space="preserve">CITY OF WATERTOWN, DEWEY AVENUE    </v>
      </c>
      <c r="M484" t="str">
        <f>CLEAN("E MAIN STREET TO E DIVISON STREET  ")</f>
        <v xml:space="preserve">E MAIN STREET TO E DIVISON STREET  </v>
      </c>
      <c r="N484">
        <v>0.38</v>
      </c>
      <c r="O484" t="str">
        <f>CLEAN("3997-01-79")</f>
        <v>3997-01-79</v>
      </c>
      <c r="P484" t="str">
        <f>CLEAN("STP URBAN 20,000 - 50,000                                                                           ")</f>
        <v xml:space="preserve">STP URBAN 20,000 - 50,000                                                                           </v>
      </c>
    </row>
    <row r="485" spans="1:16" x14ac:dyDescent="0.25">
      <c r="A485" t="str">
        <f t="shared" si="176"/>
        <v>10</v>
      </c>
      <c r="B485" t="str">
        <f>CLEAN("23")</f>
        <v>23</v>
      </c>
      <c r="C485" s="1">
        <v>46063</v>
      </c>
      <c r="D485" t="str">
        <f>CLEAN("4008-02-70")</f>
        <v>4008-02-70</v>
      </c>
      <c r="E485" t="str">
        <f>CLEAN("205  ")</f>
        <v xml:space="preserve">205  </v>
      </c>
      <c r="F485" t="str">
        <f>CLEAN("$500,000 - $749,999      ")</f>
        <v xml:space="preserve">$500,000 - $749,999      </v>
      </c>
      <c r="G485" t="str">
        <f>CLEAN("LET")</f>
        <v>LET</v>
      </c>
      <c r="H485" t="str">
        <f>CLEAN("LET CONSTRUCTION         ")</f>
        <v xml:space="preserve">LET CONSTRUCTION         </v>
      </c>
      <c r="I485" t="str">
        <f>CLEAN("CONST OPS/BRRPL/B-36-0913          ")</f>
        <v xml:space="preserve">CONST OPS/BRRPL/B-36-0913          </v>
      </c>
      <c r="J485" t="str">
        <f>CLEAN("CTH XX ")</f>
        <v xml:space="preserve">CTH XX </v>
      </c>
      <c r="K485" t="str">
        <f>CLEAN("MANITOWOC                     ")</f>
        <v xml:space="preserve">MANITOWOC                     </v>
      </c>
      <c r="L485" t="str">
        <f>CLEAN("V CLEVELAND, CTH XX                ")</f>
        <v xml:space="preserve">V CLEVELAND, CTH XX                </v>
      </c>
      <c r="M485" t="str">
        <f>CLEAN("BRANCH OF CENTERVILLE CREEK BRIDGE ")</f>
        <v xml:space="preserve">BRANCH OF CENTERVILLE CREEK BRIDGE </v>
      </c>
      <c r="N485">
        <v>6.0000000000000001E-3</v>
      </c>
      <c r="O485" t="str">
        <f>CLEAN("          ")</f>
        <v xml:space="preserve">          </v>
      </c>
      <c r="P485" t="str">
        <f>CLEAN("LOCAL BRIDGES                                                                                       ")</f>
        <v xml:space="preserve">LOCAL BRIDGES                                                                                       </v>
      </c>
    </row>
    <row r="486" spans="1:16" x14ac:dyDescent="0.25">
      <c r="A486" t="str">
        <f t="shared" si="176"/>
        <v>10</v>
      </c>
      <c r="B486" t="str">
        <f>CLEAN("22")</f>
        <v>22</v>
      </c>
      <c r="C486" s="1">
        <v>46228</v>
      </c>
      <c r="D486" t="str">
        <f>CLEAN("4010-18-21")</f>
        <v>4010-18-21</v>
      </c>
      <c r="E486" t="str">
        <f t="shared" ref="E486:E508" si="178">CLEAN("303  ")</f>
        <v xml:space="preserve">303  </v>
      </c>
      <c r="F486" t="str">
        <f>CLEAN("$0 - $99,999             ")</f>
        <v xml:space="preserve">$0 - $99,999             </v>
      </c>
      <c r="G486" t="str">
        <f>CLEAN("R/E")</f>
        <v>R/E</v>
      </c>
      <c r="H486" t="str">
        <f>CLEAN("NONLET CONSTR/REAL ESTATE")</f>
        <v>NONLET CONSTR/REAL ESTATE</v>
      </c>
      <c r="I486" t="str">
        <f>CLEAN("RE/RECST                           ")</f>
        <v xml:space="preserve">RE/RECST                           </v>
      </c>
      <c r="J486" t="str">
        <f>CLEAN("STH 144")</f>
        <v>STH 144</v>
      </c>
      <c r="K486" t="str">
        <f>CLEAN("WASHINGTON                    ")</f>
        <v xml:space="preserve">WASHINGTON                    </v>
      </c>
      <c r="L486" t="str">
        <f>CLEAN("WEST BEND - WALDO                  ")</f>
        <v xml:space="preserve">WEST BEND - WALDO                  </v>
      </c>
      <c r="M486" t="str">
        <f>CLEAN("CTH H INTERSECTION                 ")</f>
        <v xml:space="preserve">CTH H INTERSECTION                 </v>
      </c>
      <c r="N486">
        <v>0.46899999999999997</v>
      </c>
      <c r="O486" t="str">
        <f>CLEAN("          ")</f>
        <v xml:space="preserve">          </v>
      </c>
      <c r="P486" t="str">
        <f t="shared" ref="P486:P496" si="179"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487" spans="1:16" x14ac:dyDescent="0.25">
      <c r="A487" t="str">
        <f t="shared" si="176"/>
        <v>10</v>
      </c>
      <c r="B487" t="str">
        <f>CLEAN("22")</f>
        <v>22</v>
      </c>
      <c r="C487" s="1">
        <v>45881</v>
      </c>
      <c r="D487" t="str">
        <f>CLEAN("4010-18-70")</f>
        <v>4010-18-70</v>
      </c>
      <c r="E487" t="str">
        <f t="shared" si="178"/>
        <v xml:space="preserve">303  </v>
      </c>
      <c r="F487" t="str">
        <f>CLEAN("$3,000,000 - $3,999,999  ")</f>
        <v xml:space="preserve">$3,000,000 - $3,999,999  </v>
      </c>
      <c r="G487" t="str">
        <f>CLEAN("LET")</f>
        <v>LET</v>
      </c>
      <c r="H487" t="str">
        <f>CLEAN("LET CONSTRUCTION         ")</f>
        <v xml:space="preserve">LET CONSTRUCTION         </v>
      </c>
      <c r="I487" t="str">
        <f>CLEAN("CONST/RESURFACE                    ")</f>
        <v xml:space="preserve">CONST/RESURFACE                    </v>
      </c>
      <c r="J487" t="str">
        <f>CLEAN("STH 144")</f>
        <v>STH 144</v>
      </c>
      <c r="K487" t="str">
        <f>CLEAN("WASHINGTON                    ")</f>
        <v xml:space="preserve">WASHINGTON                    </v>
      </c>
      <c r="L487" t="str">
        <f>CLEAN("WEST BEND - WALDO                  ")</f>
        <v xml:space="preserve">WEST BEND - WALDO                  </v>
      </c>
      <c r="M487" t="str">
        <f>CLEAN("SKYLINE DR TO NCL                  ")</f>
        <v xml:space="preserve">SKYLINE DR TO NCL                  </v>
      </c>
      <c r="N487">
        <v>8.4580000000000002</v>
      </c>
      <c r="O487" t="str">
        <f>CLEAN("          ")</f>
        <v xml:space="preserve">          </v>
      </c>
      <c r="P487" t="str">
        <f t="shared" si="179"/>
        <v xml:space="preserve">STATE 3R                                                                                            </v>
      </c>
    </row>
    <row r="488" spans="1:16" x14ac:dyDescent="0.25">
      <c r="A488" t="str">
        <f t="shared" si="176"/>
        <v>10</v>
      </c>
      <c r="B488" t="str">
        <f>CLEAN("23")</f>
        <v>23</v>
      </c>
      <c r="C488" s="1">
        <v>46198</v>
      </c>
      <c r="D488" t="str">
        <f>CLEAN("4010-21-50")</f>
        <v>4010-21-50</v>
      </c>
      <c r="E488" t="str">
        <f t="shared" si="178"/>
        <v xml:space="preserve">303  </v>
      </c>
      <c r="F488" t="str">
        <f>CLEAN("$250,000 - $499,999      ")</f>
        <v xml:space="preserve">$250,000 - $499,999      </v>
      </c>
      <c r="G488" t="str">
        <f>CLEAN("R/R")</f>
        <v>R/R</v>
      </c>
      <c r="H488" t="str">
        <f>CLEAN("NONLET CONSTR/REAL ESTATE")</f>
        <v>NONLET CONSTR/REAL ESTATE</v>
      </c>
      <c r="I488" t="str">
        <f>CLEAN("RR XING SIGNALS                    ")</f>
        <v xml:space="preserve">RR XING SIGNALS                    </v>
      </c>
      <c r="J488" t="str">
        <f>CLEAN("STH 028")</f>
        <v>STH 028</v>
      </c>
      <c r="K488" t="str">
        <f>CLEAN("SHEBOYGAN                     ")</f>
        <v xml:space="preserve">SHEBOYGAN                     </v>
      </c>
      <c r="L488" t="str">
        <f>CLEAN("KEWASKUM-WALDO                     ")</f>
        <v xml:space="preserve">KEWASKUM-WALDO                     </v>
      </c>
      <c r="M488" t="str">
        <f>CLEAN("WSOR XING SIGNALS 387113B          ")</f>
        <v xml:space="preserve">WSOR XING SIGNALS 387113B          </v>
      </c>
      <c r="N488">
        <v>1.7000000000000001E-2</v>
      </c>
      <c r="O488" t="str">
        <f>CLEAN("          ")</f>
        <v xml:space="preserve">          </v>
      </c>
      <c r="P488" t="str">
        <f t="shared" si="179"/>
        <v xml:space="preserve">STATE 3R                                                                                            </v>
      </c>
    </row>
    <row r="489" spans="1:16" x14ac:dyDescent="0.25">
      <c r="A489" t="str">
        <f t="shared" si="176"/>
        <v>10</v>
      </c>
      <c r="B489" t="str">
        <f>CLEAN("23")</f>
        <v>23</v>
      </c>
      <c r="C489" s="1">
        <v>46047</v>
      </c>
      <c r="D489" t="str">
        <f>CLEAN("4015-22-50")</f>
        <v>4015-22-50</v>
      </c>
      <c r="E489" t="str">
        <f t="shared" si="178"/>
        <v xml:space="preserve">303  </v>
      </c>
      <c r="F489" t="str">
        <f>CLEAN("$250,000 - $499,999      ")</f>
        <v xml:space="preserve">$250,000 - $499,999      </v>
      </c>
      <c r="G489" t="str">
        <f>CLEAN("R/R")</f>
        <v>R/R</v>
      </c>
      <c r="H489" t="str">
        <f>CLEAN("NONLET CONSTR/REAL ESTATE")</f>
        <v>NONLET CONSTR/REAL ESTATE</v>
      </c>
      <c r="I489" t="str">
        <f>CLEAN("RR IMPROVMENT                      ")</f>
        <v xml:space="preserve">RR IMPROVMENT                      </v>
      </c>
      <c r="J489" t="str">
        <f>CLEAN("STH 057")</f>
        <v>STH 057</v>
      </c>
      <c r="K489" t="str">
        <f>CLEAN("SHEBOYGAN                     ")</f>
        <v xml:space="preserve">SHEBOYGAN                     </v>
      </c>
      <c r="L489" t="str">
        <f>CLEAN("WALDO-KIEL                         ")</f>
        <v xml:space="preserve">WALDO-KIEL                         </v>
      </c>
      <c r="M489" t="str">
        <f>CLEAN("WSOR XING SURFACE 180329F          ")</f>
        <v xml:space="preserve">WSOR XING SURFACE 180329F          </v>
      </c>
      <c r="N489">
        <v>0.14599999999999999</v>
      </c>
      <c r="O489" t="str">
        <f>CLEAN("          ")</f>
        <v xml:space="preserve">          </v>
      </c>
      <c r="P489" t="str">
        <f t="shared" si="179"/>
        <v xml:space="preserve">STATE 3R                                                                                            </v>
      </c>
    </row>
    <row r="490" spans="1:16" x14ac:dyDescent="0.25">
      <c r="A490" t="str">
        <f t="shared" si="176"/>
        <v>10</v>
      </c>
      <c r="B490" t="str">
        <f>CLEAN("22")</f>
        <v>22</v>
      </c>
      <c r="C490" s="1">
        <v>46126</v>
      </c>
      <c r="D490" t="str">
        <f>CLEAN("4030-03-70")</f>
        <v>4030-03-70</v>
      </c>
      <c r="E490" t="str">
        <f t="shared" si="178"/>
        <v xml:space="preserve">303  </v>
      </c>
      <c r="F490" t="str">
        <f>CLEAN("$1,000,000 - $1,999,999  ")</f>
        <v xml:space="preserve">$1,000,000 - $1,999,999  </v>
      </c>
      <c r="G490" t="str">
        <f>CLEAN("LET")</f>
        <v>LET</v>
      </c>
      <c r="H490" t="str">
        <f>CLEAN("LET CONSTRUCTION         ")</f>
        <v xml:space="preserve">LET CONSTRUCTION         </v>
      </c>
      <c r="I490" t="str">
        <f>CLEAN("CONST/RSRF15                       ")</f>
        <v xml:space="preserve">CONST/RSRF15                       </v>
      </c>
      <c r="J490" t="str">
        <f>CLEAN("STH 033")</f>
        <v>STH 033</v>
      </c>
      <c r="K490" t="str">
        <f>CLEAN("OZAUKEE                       ")</f>
        <v xml:space="preserve">OZAUKEE                       </v>
      </c>
      <c r="L490" t="str">
        <f>CLEAN("WEST BEND - PORT WASHINGTON        ")</f>
        <v xml:space="preserve">WEST BEND - PORT WASHINGTON        </v>
      </c>
      <c r="M490" t="str">
        <f>CLEAN("MILWAUKEE RIVER TO JACKSON ROAD    ")</f>
        <v xml:space="preserve">MILWAUKEE RIVER TO JACKSON ROAD    </v>
      </c>
      <c r="N490">
        <v>1.17</v>
      </c>
      <c r="O490" t="str">
        <f>CLEAN("4030-03-71")</f>
        <v>4030-03-71</v>
      </c>
      <c r="P490" t="str">
        <f t="shared" si="179"/>
        <v xml:space="preserve">STATE 3R                                                                                            </v>
      </c>
    </row>
    <row r="491" spans="1:16" x14ac:dyDescent="0.25">
      <c r="A491" t="str">
        <f t="shared" si="176"/>
        <v>10</v>
      </c>
      <c r="B491" t="str">
        <f>CLEAN("22")</f>
        <v>22</v>
      </c>
      <c r="C491" s="1">
        <v>46126</v>
      </c>
      <c r="D491" t="str">
        <f>CLEAN("4030-03-71")</f>
        <v>4030-03-71</v>
      </c>
      <c r="E491" t="str">
        <f t="shared" si="178"/>
        <v xml:space="preserve">303  </v>
      </c>
      <c r="F491" t="str">
        <f>CLEAN("$750,000 - $999,999      ")</f>
        <v xml:space="preserve">$750,000 - $999,999      </v>
      </c>
      <c r="G491" t="str">
        <f>CLEAN("LET")</f>
        <v>LET</v>
      </c>
      <c r="H491" t="str">
        <f>CLEAN("LET CONSTRUCTION         ")</f>
        <v xml:space="preserve">LET CONSTRUCTION         </v>
      </c>
      <c r="I491" t="str">
        <f>CLEAN("CONST/RSRF15                       ")</f>
        <v xml:space="preserve">CONST/RSRF15                       </v>
      </c>
      <c r="J491" t="str">
        <f>CLEAN("STH 033")</f>
        <v>STH 033</v>
      </c>
      <c r="K491" t="str">
        <f>CLEAN("OZAUKEE                       ")</f>
        <v xml:space="preserve">OZAUKEE                       </v>
      </c>
      <c r="L491" t="str">
        <f>CLEAN("WEST BEND - PORT WASHINGTON        ")</f>
        <v xml:space="preserve">WEST BEND - PORT WASHINGTON        </v>
      </c>
      <c r="M491" t="str">
        <f>CLEAN("JACKSON RD TO SUMMIT DR            ")</f>
        <v xml:space="preserve">JACKSON RD TO SUMMIT DR            </v>
      </c>
      <c r="N491">
        <v>0.94</v>
      </c>
      <c r="O491" t="str">
        <f>CLEAN("4030-03-70")</f>
        <v>4030-03-70</v>
      </c>
      <c r="P491" t="str">
        <f t="shared" si="179"/>
        <v xml:space="preserve">STATE 3R                                                                                            </v>
      </c>
    </row>
    <row r="492" spans="1:16" x14ac:dyDescent="0.25">
      <c r="A492" t="str">
        <f t="shared" si="176"/>
        <v>10</v>
      </c>
      <c r="B492" t="str">
        <f t="shared" ref="B492:B499" si="180">CLEAN("23")</f>
        <v>23</v>
      </c>
      <c r="C492" s="1">
        <v>45925</v>
      </c>
      <c r="D492" t="str">
        <f>CLEAN("4050-30-60")</f>
        <v>4050-30-60</v>
      </c>
      <c r="E492" t="str">
        <f t="shared" si="178"/>
        <v xml:space="preserve">303  </v>
      </c>
      <c r="F492" t="str">
        <f>CLEAN("$0 - $99,999             ")</f>
        <v xml:space="preserve">$0 - $99,999             </v>
      </c>
      <c r="G492" t="str">
        <f>CLEAN("LFA")</f>
        <v>LFA</v>
      </c>
      <c r="H492" t="str">
        <f>CLEAN("NONLET CONSTR/REAL ESTATE")</f>
        <v>NONLET CONSTR/REAL ESTATE</v>
      </c>
      <c r="I492" t="str">
        <f>CLEAN("CONST OPS/LFA SPECIALTY INLET      ")</f>
        <v xml:space="preserve">CONST OPS/LFA SPECIALTY INLET      </v>
      </c>
      <c r="J492" t="str">
        <f>CLEAN("STH 055")</f>
        <v>STH 055</v>
      </c>
      <c r="K492" t="str">
        <f>CLEAN("CALUMET                       ")</f>
        <v xml:space="preserve">CALUMET                       </v>
      </c>
      <c r="L492" t="str">
        <f>CLEAN("FOND DU LAC - STOCKBRIDGE          ")</f>
        <v xml:space="preserve">FOND DU LAC - STOCKBRIDGE          </v>
      </c>
      <c r="M492" t="str">
        <f>CLEAN("JEFFERSON RD - QUINNEY RD          ")</f>
        <v xml:space="preserve">JEFFERSON RD - QUINNEY RD          </v>
      </c>
      <c r="N492">
        <v>2.1999999999999999E-2</v>
      </c>
      <c r="O492" t="str">
        <f t="shared" ref="O492:O516" si="181">CLEAN("          ")</f>
        <v xml:space="preserve">          </v>
      </c>
      <c r="P492" t="str">
        <f t="shared" si="179"/>
        <v xml:space="preserve">STATE 3R                                                                                            </v>
      </c>
    </row>
    <row r="493" spans="1:16" x14ac:dyDescent="0.25">
      <c r="A493" t="str">
        <f t="shared" si="176"/>
        <v>10</v>
      </c>
      <c r="B493" t="str">
        <f t="shared" si="180"/>
        <v>23</v>
      </c>
      <c r="C493" s="1">
        <v>46228</v>
      </c>
      <c r="D493" t="str">
        <f>CLEAN("4065-17-50")</f>
        <v>4065-17-50</v>
      </c>
      <c r="E493" t="str">
        <f t="shared" si="178"/>
        <v xml:space="preserve">303  </v>
      </c>
      <c r="F493" t="str">
        <f>CLEAN("$250,000 - $499,999      ")</f>
        <v xml:space="preserve">$250,000 - $499,999      </v>
      </c>
      <c r="G493" t="str">
        <f>CLEAN("R/R")</f>
        <v>R/R</v>
      </c>
      <c r="H493" t="str">
        <f>CLEAN("NONLET CONSTR/REAL ESTATE")</f>
        <v>NONLET CONSTR/REAL ESTATE</v>
      </c>
      <c r="I493" t="str">
        <f>CLEAN("RR OPS/MISC/CN RR XING             ")</f>
        <v xml:space="preserve">RR OPS/MISC/CN RR XING             </v>
      </c>
      <c r="J493" t="str">
        <f>CLEAN("STH 114")</f>
        <v>STH 114</v>
      </c>
      <c r="K493" t="str">
        <f>CLEAN("WINNEBAGO                     ")</f>
        <v xml:space="preserve">WINNEBAGO                     </v>
      </c>
      <c r="L493" t="str">
        <f>CLEAN("PLANK ROAD, CITY OF MENASHA        ")</f>
        <v xml:space="preserve">PLANK ROAD, CITY OF MENASHA        </v>
      </c>
      <c r="M493" t="str">
        <f>CLEAN("CNRR XING SURFACE 386656N MP 2.59  ")</f>
        <v xml:space="preserve">CNRR XING SURFACE 386656N MP 2.59  </v>
      </c>
      <c r="N493">
        <v>0</v>
      </c>
      <c r="O493" t="str">
        <f t="shared" si="181"/>
        <v xml:space="preserve">          </v>
      </c>
      <c r="P493" t="str">
        <f t="shared" si="179"/>
        <v xml:space="preserve">STATE 3R                                                                                            </v>
      </c>
    </row>
    <row r="494" spans="1:16" x14ac:dyDescent="0.25">
      <c r="A494" t="str">
        <f t="shared" si="176"/>
        <v>10</v>
      </c>
      <c r="B494" t="str">
        <f t="shared" si="180"/>
        <v>23</v>
      </c>
      <c r="C494" s="1">
        <v>46228</v>
      </c>
      <c r="D494" t="str">
        <f>CLEAN("4065-17-51")</f>
        <v>4065-17-51</v>
      </c>
      <c r="E494" t="str">
        <f t="shared" si="178"/>
        <v xml:space="preserve">303  </v>
      </c>
      <c r="F494" t="str">
        <f>CLEAN("$500,000 - $749,999      ")</f>
        <v xml:space="preserve">$500,000 - $749,999      </v>
      </c>
      <c r="G494" t="str">
        <f>CLEAN("R/R")</f>
        <v>R/R</v>
      </c>
      <c r="H494" t="str">
        <f>CLEAN("NONLET CONSTR/REAL ESTATE")</f>
        <v>NONLET CONSTR/REAL ESTATE</v>
      </c>
      <c r="I494" t="str">
        <f>CLEAN("RR OPS/MISC/CN RR SIGNALS/GATES    ")</f>
        <v xml:space="preserve">RR OPS/MISC/CN RR SIGNALS/GATES    </v>
      </c>
      <c r="J494" t="str">
        <f>CLEAN("STH 114")</f>
        <v>STH 114</v>
      </c>
      <c r="K494" t="str">
        <f>CLEAN("WINNEBAGO                     ")</f>
        <v xml:space="preserve">WINNEBAGO                     </v>
      </c>
      <c r="L494" t="str">
        <f>CLEAN("PLANK ROAD, CITY OF MENASHA        ")</f>
        <v xml:space="preserve">PLANK ROAD, CITY OF MENASHA        </v>
      </c>
      <c r="M494" t="str">
        <f>CLEAN("CNRR SIGNALS/GATES 386656N MP 2.59 ")</f>
        <v xml:space="preserve">CNRR SIGNALS/GATES 386656N MP 2.59 </v>
      </c>
      <c r="N494">
        <v>0</v>
      </c>
      <c r="O494" t="str">
        <f t="shared" si="181"/>
        <v xml:space="preserve">          </v>
      </c>
      <c r="P494" t="str">
        <f t="shared" si="179"/>
        <v xml:space="preserve">STATE 3R                                                                                            </v>
      </c>
    </row>
    <row r="495" spans="1:16" x14ac:dyDescent="0.25">
      <c r="A495" t="str">
        <f t="shared" si="176"/>
        <v>10</v>
      </c>
      <c r="B495" t="str">
        <f t="shared" si="180"/>
        <v>23</v>
      </c>
      <c r="C495" s="1">
        <v>45986</v>
      </c>
      <c r="D495" t="str">
        <f>CLEAN("4075-40-50")</f>
        <v>4075-40-50</v>
      </c>
      <c r="E495" t="str">
        <f t="shared" si="178"/>
        <v xml:space="preserve">303  </v>
      </c>
      <c r="F495" t="str">
        <f>CLEAN("$250,000 - $499,999      ")</f>
        <v xml:space="preserve">$250,000 - $499,999      </v>
      </c>
      <c r="G495" t="str">
        <f>CLEAN("R/R")</f>
        <v>R/R</v>
      </c>
      <c r="H495" t="str">
        <f>CLEAN("NONLET CONSTR/REAL ESTATE")</f>
        <v>NONLET CONSTR/REAL ESTATE</v>
      </c>
      <c r="I495" t="str">
        <f>CLEAN("RR OPS/XING IMPROVEMENT            ")</f>
        <v xml:space="preserve">RR OPS/XING IMPROVEMENT            </v>
      </c>
      <c r="J495" t="str">
        <f>CLEAN("STH 096")</f>
        <v>STH 096</v>
      </c>
      <c r="K495" t="str">
        <f>CLEAN("OUTAGAMIE                     ")</f>
        <v xml:space="preserve">OUTAGAMIE                     </v>
      </c>
      <c r="L495" t="str">
        <f>CLEAN("W WISCONSIN AVE, T OF GRAND CHUTE  ")</f>
        <v xml:space="preserve">W WISCONSIN AVE, T OF GRAND CHUTE  </v>
      </c>
      <c r="M495" t="str">
        <f>CLEAN("FOXY RR XING SURFACE 697814V       ")</f>
        <v xml:space="preserve">FOXY RR XING SURFACE 697814V       </v>
      </c>
      <c r="N495">
        <v>0</v>
      </c>
      <c r="O495" t="str">
        <f t="shared" si="181"/>
        <v xml:space="preserve">          </v>
      </c>
      <c r="P495" t="str">
        <f t="shared" si="179"/>
        <v xml:space="preserve">STATE 3R                                                                                            </v>
      </c>
    </row>
    <row r="496" spans="1:16" x14ac:dyDescent="0.25">
      <c r="A496" t="str">
        <f t="shared" si="176"/>
        <v>10</v>
      </c>
      <c r="B496" t="str">
        <f t="shared" si="180"/>
        <v>23</v>
      </c>
      <c r="C496" s="1">
        <v>45894</v>
      </c>
      <c r="D496" t="str">
        <f>CLEAN("4075-42-20")</f>
        <v>4075-42-20</v>
      </c>
      <c r="E496" t="str">
        <f t="shared" si="178"/>
        <v xml:space="preserve">303  </v>
      </c>
      <c r="F496" t="str">
        <f>CLEAN("$0 - $99,999             ")</f>
        <v xml:space="preserve">$0 - $99,999             </v>
      </c>
      <c r="G496" t="str">
        <f>CLEAN("R/E")</f>
        <v>R/E</v>
      </c>
      <c r="H496" t="str">
        <f>CLEAN("NONLET CONSTR/REAL ESTATE")</f>
        <v>NONLET CONSTR/REAL ESTATE</v>
      </c>
      <c r="I496" t="str">
        <f>CLEAN("RE OPS/RSRF15                      ")</f>
        <v xml:space="preserve">RE OPS/RSRF15                      </v>
      </c>
      <c r="J496" t="str">
        <f>CLEAN("STH 096")</f>
        <v>STH 096</v>
      </c>
      <c r="K496" t="str">
        <f>CLEAN("BROWN                         ")</f>
        <v xml:space="preserve">BROWN                         </v>
      </c>
      <c r="L496" t="str">
        <f>CLEAN("WRIGHTSTOWN - GREENLEAF            ")</f>
        <v xml:space="preserve">WRIGHTSTOWN - GREENLEAF            </v>
      </c>
      <c r="M496" t="str">
        <f>CLEAN("LAGOON RD - WOBECK LN              ")</f>
        <v xml:space="preserve">LAGOON RD - WOBECK LN              </v>
      </c>
      <c r="N496">
        <v>2.395</v>
      </c>
      <c r="O496" t="str">
        <f t="shared" si="181"/>
        <v xml:space="preserve">          </v>
      </c>
      <c r="P496" t="str">
        <f t="shared" si="179"/>
        <v xml:space="preserve">STATE 3R                                                                                            </v>
      </c>
    </row>
    <row r="497" spans="1:16" x14ac:dyDescent="0.25">
      <c r="A497" t="str">
        <f t="shared" si="176"/>
        <v>10</v>
      </c>
      <c r="B497" t="str">
        <f t="shared" si="180"/>
        <v>23</v>
      </c>
      <c r="C497" s="1">
        <v>45881</v>
      </c>
      <c r="D497" t="str">
        <f>CLEAN("4085-67-71")</f>
        <v>4085-67-71</v>
      </c>
      <c r="E497" t="str">
        <f t="shared" si="178"/>
        <v xml:space="preserve">303  </v>
      </c>
      <c r="F497" t="str">
        <f>CLEAN("$2,000,000 - $2,999,999  ")</f>
        <v xml:space="preserve">$2,000,000 - $2,999,999  </v>
      </c>
      <c r="G497" t="str">
        <f>CLEAN("LET")</f>
        <v>LET</v>
      </c>
      <c r="H497" t="str">
        <f>CLEAN("LET CONSTRUCTION         ")</f>
        <v xml:space="preserve">LET CONSTRUCTION         </v>
      </c>
      <c r="I497" t="str">
        <f>CLEAN("CONST OPS/RSRF20                   ")</f>
        <v xml:space="preserve">CONST OPS/RSRF20                   </v>
      </c>
      <c r="J497" t="str">
        <f>CLEAN("STH 032")</f>
        <v>STH 032</v>
      </c>
      <c r="K497" t="str">
        <f>CLEAN("CALUMET                       ")</f>
        <v xml:space="preserve">CALUMET                       </v>
      </c>
      <c r="L497" t="str">
        <f>CLEAN("NEW HOLSTEIN-CHILTON               ")</f>
        <v xml:space="preserve">NEW HOLSTEIN-CHILTON               </v>
      </c>
      <c r="M497" t="str">
        <f>CLEAN("ALTONA AVENUE-USH 151              ")</f>
        <v xml:space="preserve">ALTONA AVENUE-USH 151              </v>
      </c>
      <c r="N497">
        <v>4.5670000000000002</v>
      </c>
      <c r="O497" t="str">
        <f t="shared" si="181"/>
        <v xml:space="preserve">          </v>
      </c>
      <c r="P497" t="str">
        <f>CLEAN("SAFETY (REGULAR HSIP)                                                                               ")</f>
        <v xml:space="preserve">SAFETY (REGULAR HSIP)                                                                               </v>
      </c>
    </row>
    <row r="498" spans="1:16" x14ac:dyDescent="0.25">
      <c r="A498" t="str">
        <f t="shared" si="176"/>
        <v>10</v>
      </c>
      <c r="B498" t="str">
        <f t="shared" si="180"/>
        <v>23</v>
      </c>
      <c r="C498" s="1">
        <v>45881</v>
      </c>
      <c r="D498" t="str">
        <f>CLEAN("4085-67-71")</f>
        <v>4085-67-71</v>
      </c>
      <c r="E498" t="str">
        <f t="shared" si="178"/>
        <v xml:space="preserve">303  </v>
      </c>
      <c r="F498" t="str">
        <f>CLEAN("$2,000,000 - $2,999,999  ")</f>
        <v xml:space="preserve">$2,000,000 - $2,999,999  </v>
      </c>
      <c r="G498" t="str">
        <f>CLEAN("LET")</f>
        <v>LET</v>
      </c>
      <c r="H498" t="str">
        <f>CLEAN("LET CONSTRUCTION         ")</f>
        <v xml:space="preserve">LET CONSTRUCTION         </v>
      </c>
      <c r="I498" t="str">
        <f>CLEAN("CONST OPS/RSRF20                   ")</f>
        <v xml:space="preserve">CONST OPS/RSRF20                   </v>
      </c>
      <c r="J498" t="str">
        <f>CLEAN("STH 032")</f>
        <v>STH 032</v>
      </c>
      <c r="K498" t="str">
        <f>CLEAN("CALUMET                       ")</f>
        <v xml:space="preserve">CALUMET                       </v>
      </c>
      <c r="L498" t="str">
        <f>CLEAN("NEW HOLSTEIN-CHILTON               ")</f>
        <v xml:space="preserve">NEW HOLSTEIN-CHILTON               </v>
      </c>
      <c r="M498" t="str">
        <f>CLEAN("ALTONA AVENUE-USH 151              ")</f>
        <v xml:space="preserve">ALTONA AVENUE-USH 151              </v>
      </c>
      <c r="N498">
        <v>4.5670000000000002</v>
      </c>
      <c r="O498" t="str">
        <f t="shared" si="181"/>
        <v xml:space="preserve">          </v>
      </c>
      <c r="P498" t="str">
        <f t="shared" ref="P498:P505" si="182"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499" spans="1:16" x14ac:dyDescent="0.25">
      <c r="A499" t="str">
        <f t="shared" si="176"/>
        <v>10</v>
      </c>
      <c r="B499" t="str">
        <f t="shared" si="180"/>
        <v>23</v>
      </c>
      <c r="C499" s="1">
        <v>46078</v>
      </c>
      <c r="D499" t="str">
        <f>CLEAN("4085-71-21")</f>
        <v>4085-71-21</v>
      </c>
      <c r="E499" t="str">
        <f t="shared" si="178"/>
        <v xml:space="preserve">303  </v>
      </c>
      <c r="F499" t="str">
        <f>CLEAN("$750,000 - $999,999      ")</f>
        <v xml:space="preserve">$750,000 - $999,999      </v>
      </c>
      <c r="G499" t="str">
        <f>CLEAN("R/E")</f>
        <v>R/E</v>
      </c>
      <c r="H499" t="str">
        <f t="shared" ref="H499:H508" si="183">CLEAN("NONLET CONSTR/REAL ESTATE")</f>
        <v>NONLET CONSTR/REAL ESTATE</v>
      </c>
      <c r="I499" t="str">
        <f>CLEAN("RE OPS/RECST                       ")</f>
        <v xml:space="preserve">RE OPS/RECST                       </v>
      </c>
      <c r="J499" t="str">
        <f>CLEAN("STH 032")</f>
        <v>STH 032</v>
      </c>
      <c r="K499" t="str">
        <f>CLEAN("MANITOWOC                     ")</f>
        <v xml:space="preserve">MANITOWOC                     </v>
      </c>
      <c r="L499" t="str">
        <f>CLEAN("CALUMET AVE, C KIEL                ")</f>
        <v xml:space="preserve">CALUMET AVE, C KIEL                </v>
      </c>
      <c r="M499" t="str">
        <f>CLEAN("SHEBOYGAN ST - CTH AA              ")</f>
        <v xml:space="preserve">SHEBOYGAN ST - CTH AA              </v>
      </c>
      <c r="N499">
        <v>0.114</v>
      </c>
      <c r="O499" t="str">
        <f t="shared" si="181"/>
        <v xml:space="preserve">          </v>
      </c>
      <c r="P499" t="str">
        <f t="shared" si="182"/>
        <v xml:space="preserve">STATE 3R                                                                                            </v>
      </c>
    </row>
    <row r="500" spans="1:16" x14ac:dyDescent="0.25">
      <c r="A500" t="str">
        <f t="shared" si="176"/>
        <v>10</v>
      </c>
      <c r="B500" t="str">
        <f>CLEAN("21")</f>
        <v>21</v>
      </c>
      <c r="C500" s="1">
        <v>45955</v>
      </c>
      <c r="D500" t="str">
        <f>CLEAN("4090-01-24")</f>
        <v>4090-01-24</v>
      </c>
      <c r="E500" t="str">
        <f t="shared" si="178"/>
        <v xml:space="preserve">303  </v>
      </c>
      <c r="F500" t="str">
        <f>CLEAN("$0 - $99,999             ")</f>
        <v xml:space="preserve">$0 - $99,999             </v>
      </c>
      <c r="G500" t="str">
        <f>CLEAN("R/E")</f>
        <v>R/E</v>
      </c>
      <c r="H500" t="str">
        <f t="shared" si="183"/>
        <v>NONLET CONSTR/REAL ESTATE</v>
      </c>
      <c r="I500" t="str">
        <f>CLEAN("DESIGN-RIGHT OF WAY/ PVRPLA        ")</f>
        <v xml:space="preserve">DESIGN-RIGHT OF WAY/ PVRPLA        </v>
      </c>
      <c r="J500" t="str">
        <f>CLEAN("STH 067")</f>
        <v>STH 067</v>
      </c>
      <c r="K500" t="str">
        <f>CLEAN("DODGE                         ")</f>
        <v xml:space="preserve">DODGE                         </v>
      </c>
      <c r="L500" t="str">
        <f>CLEAN("MAYVILLE - CAMPBELLSPORT           ")</f>
        <v xml:space="preserve">MAYVILLE - CAMPBELLSPORT           </v>
      </c>
      <c r="M500" t="str">
        <f>CLEAN("STH 175 TO EAST COUNTY LINE        ")</f>
        <v xml:space="preserve">STH 175 TO EAST COUNTY LINE        </v>
      </c>
      <c r="N500">
        <v>2.238</v>
      </c>
      <c r="O500" t="str">
        <f t="shared" si="181"/>
        <v xml:space="preserve">          </v>
      </c>
      <c r="P500" t="str">
        <f t="shared" si="182"/>
        <v xml:space="preserve">STATE 3R                                                                                            </v>
      </c>
    </row>
    <row r="501" spans="1:16" x14ac:dyDescent="0.25">
      <c r="A501" t="str">
        <f t="shared" si="176"/>
        <v>10</v>
      </c>
      <c r="B501" t="str">
        <f t="shared" ref="B501:B528" si="184">CLEAN("23")</f>
        <v>23</v>
      </c>
      <c r="C501" s="1">
        <v>46078</v>
      </c>
      <c r="D501" t="str">
        <f>CLEAN("4100-42-21")</f>
        <v>4100-42-21</v>
      </c>
      <c r="E501" t="str">
        <f t="shared" si="178"/>
        <v xml:space="preserve">303  </v>
      </c>
      <c r="F501" t="str">
        <f>CLEAN("$750,000 - $999,999      ")</f>
        <v xml:space="preserve">$750,000 - $999,999      </v>
      </c>
      <c r="G501" t="str">
        <f>CLEAN("R/E")</f>
        <v>R/E</v>
      </c>
      <c r="H501" t="str">
        <f t="shared" si="183"/>
        <v>NONLET CONSTR/REAL ESTATE</v>
      </c>
      <c r="I501" t="str">
        <f>CLEAN("RE OPS/PVRPLA                      ")</f>
        <v xml:space="preserve">RE OPS/PVRPLA                      </v>
      </c>
      <c r="J501" t="str">
        <f>CLEAN("STH 042")</f>
        <v>STH 042</v>
      </c>
      <c r="K501" t="str">
        <f>CLEAN("MANITOWOC                     ")</f>
        <v xml:space="preserve">MANITOWOC                     </v>
      </c>
      <c r="L501" t="str">
        <f>CLEAN("CALUMET AVE, C MANITOWOC           ")</f>
        <v xml:space="preserve">CALUMET AVE, C MANITOWOC           </v>
      </c>
      <c r="M501" t="str">
        <f>CLEAN("IH 43 - S 35TH ST                  ")</f>
        <v xml:space="preserve">IH 43 - S 35TH ST                  </v>
      </c>
      <c r="N501">
        <v>1.31</v>
      </c>
      <c r="O501" t="str">
        <f t="shared" si="181"/>
        <v xml:space="preserve">          </v>
      </c>
      <c r="P501" t="str">
        <f t="shared" si="182"/>
        <v xml:space="preserve">STATE 3R                                                                                            </v>
      </c>
    </row>
    <row r="502" spans="1:16" x14ac:dyDescent="0.25">
      <c r="A502" t="str">
        <f t="shared" si="176"/>
        <v>10</v>
      </c>
      <c r="B502" t="str">
        <f t="shared" si="184"/>
        <v>23</v>
      </c>
      <c r="C502" s="1">
        <v>45986</v>
      </c>
      <c r="D502" t="str">
        <f>CLEAN("4100-43-20")</f>
        <v>4100-43-20</v>
      </c>
      <c r="E502" t="str">
        <f t="shared" si="178"/>
        <v xml:space="preserve">303  </v>
      </c>
      <c r="F502" t="str">
        <f>CLEAN("$0 - $99,999             ")</f>
        <v xml:space="preserve">$0 - $99,999             </v>
      </c>
      <c r="G502" t="str">
        <f>CLEAN("R/E")</f>
        <v>R/E</v>
      </c>
      <c r="H502" t="str">
        <f t="shared" si="183"/>
        <v>NONLET CONSTR/REAL ESTATE</v>
      </c>
      <c r="I502" t="str">
        <f>CLEAN("RE OPS/RECST                       ")</f>
        <v xml:space="preserve">RE OPS/RECST                       </v>
      </c>
      <c r="J502" t="str">
        <f>CLEAN("USH 151")</f>
        <v>USH 151</v>
      </c>
      <c r="K502" t="str">
        <f>CLEAN("CALUMET                       ")</f>
        <v xml:space="preserve">CALUMET                       </v>
      </c>
      <c r="L502" t="str">
        <f>CLEAN("CHILTON - VALDERS                  ")</f>
        <v xml:space="preserve">CHILTON - VALDERS                  </v>
      </c>
      <c r="M502" t="str">
        <f>CLEAN("IRISH RD INTERSECTION              ")</f>
        <v xml:space="preserve">IRISH RD INTERSECTION              </v>
      </c>
      <c r="N502">
        <v>0.13400000000000001</v>
      </c>
      <c r="O502" t="str">
        <f t="shared" si="181"/>
        <v xml:space="preserve">          </v>
      </c>
      <c r="P502" t="str">
        <f t="shared" si="182"/>
        <v xml:space="preserve">STATE 3R                                                                                            </v>
      </c>
    </row>
    <row r="503" spans="1:16" x14ac:dyDescent="0.25">
      <c r="A503" t="str">
        <f t="shared" si="176"/>
        <v>10</v>
      </c>
      <c r="B503" t="str">
        <f t="shared" si="184"/>
        <v>23</v>
      </c>
      <c r="C503" s="1">
        <v>46106</v>
      </c>
      <c r="D503" t="str">
        <f>CLEAN("4115-14-21")</f>
        <v>4115-14-21</v>
      </c>
      <c r="E503" t="str">
        <f t="shared" si="178"/>
        <v xml:space="preserve">303  </v>
      </c>
      <c r="F503" t="str">
        <f>CLEAN("$100,000-$249,999        ")</f>
        <v xml:space="preserve">$100,000-$249,999        </v>
      </c>
      <c r="G503" t="str">
        <f>CLEAN("R/E")</f>
        <v>R/E</v>
      </c>
      <c r="H503" t="str">
        <f t="shared" si="183"/>
        <v>NONLET CONSTR/REAL ESTATE</v>
      </c>
      <c r="I503" t="str">
        <f>CLEAN("RE OPS/RECSTE                      ")</f>
        <v xml:space="preserve">RE OPS/RECSTE                      </v>
      </c>
      <c r="J503" t="str">
        <f>CLEAN("STH 147")</f>
        <v>STH 147</v>
      </c>
      <c r="K503" t="str">
        <f>CLEAN("MANITOWOC                     ")</f>
        <v xml:space="preserve">MANITOWOC                     </v>
      </c>
      <c r="L503" t="str">
        <f>CLEAN("TWO RIVERS - MARIBEL               ")</f>
        <v xml:space="preserve">TWO RIVERS - MARIBEL               </v>
      </c>
      <c r="M503" t="str">
        <f>CLEAN("CTH VV - CTH B                     ")</f>
        <v xml:space="preserve">CTH VV - CTH B                     </v>
      </c>
      <c r="N503">
        <v>5.29</v>
      </c>
      <c r="O503" t="str">
        <f t="shared" si="181"/>
        <v xml:space="preserve">          </v>
      </c>
      <c r="P503" t="str">
        <f t="shared" si="182"/>
        <v xml:space="preserve">STATE 3R                                                                                            </v>
      </c>
    </row>
    <row r="504" spans="1:16" x14ac:dyDescent="0.25">
      <c r="A504" t="str">
        <f t="shared" si="176"/>
        <v>10</v>
      </c>
      <c r="B504" t="str">
        <f t="shared" si="184"/>
        <v>23</v>
      </c>
      <c r="C504" s="1">
        <v>45986</v>
      </c>
      <c r="D504" t="str">
        <f>CLEAN("4115-14-40")</f>
        <v>4115-14-40</v>
      </c>
      <c r="E504" t="str">
        <f t="shared" si="178"/>
        <v xml:space="preserve">303  </v>
      </c>
      <c r="F504" t="str">
        <f>CLEAN("$0 - $99,999             ")</f>
        <v xml:space="preserve">$0 - $99,999             </v>
      </c>
      <c r="G504" t="str">
        <f>CLEAN("UTL")</f>
        <v>UTL</v>
      </c>
      <c r="H504" t="str">
        <f t="shared" si="183"/>
        <v>NONLET CONSTR/REAL ESTATE</v>
      </c>
      <c r="I504" t="str">
        <f>CLEAN("EX- UTL PLACEHOLDER/RSRF30         ")</f>
        <v xml:space="preserve">EX- UTL PLACEHOLDER/RSRF30         </v>
      </c>
      <c r="J504" t="str">
        <f>CLEAN("STH 147")</f>
        <v>STH 147</v>
      </c>
      <c r="K504" t="str">
        <f>CLEAN("MANITOWOC                     ")</f>
        <v xml:space="preserve">MANITOWOC                     </v>
      </c>
      <c r="L504" t="str">
        <f>CLEAN("TWO RIVERS - MARIBEL               ")</f>
        <v xml:space="preserve">TWO RIVERS - MARIBEL               </v>
      </c>
      <c r="M504" t="str">
        <f>CLEAN("CTH VV - CTH B                     ")</f>
        <v xml:space="preserve">CTH VV - CTH B                     </v>
      </c>
      <c r="N504">
        <v>5.29</v>
      </c>
      <c r="O504" t="str">
        <f t="shared" si="181"/>
        <v xml:space="preserve">          </v>
      </c>
      <c r="P504" t="str">
        <f t="shared" si="182"/>
        <v xml:space="preserve">STATE 3R                                                                                            </v>
      </c>
    </row>
    <row r="505" spans="1:16" x14ac:dyDescent="0.25">
      <c r="A505" t="str">
        <f t="shared" si="176"/>
        <v>10</v>
      </c>
      <c r="B505" t="str">
        <f t="shared" si="184"/>
        <v>23</v>
      </c>
      <c r="C505" s="1">
        <v>46016</v>
      </c>
      <c r="D505" t="str">
        <f>CLEAN("4140-37-20")</f>
        <v>4140-37-20</v>
      </c>
      <c r="E505" t="str">
        <f t="shared" si="178"/>
        <v xml:space="preserve">303  </v>
      </c>
      <c r="F505" t="str">
        <f>CLEAN("$100,000-$249,999        ")</f>
        <v xml:space="preserve">$100,000-$249,999        </v>
      </c>
      <c r="G505" t="str">
        <f>CLEAN("R/E")</f>
        <v>R/E</v>
      </c>
      <c r="H505" t="str">
        <f t="shared" si="183"/>
        <v>NONLET CONSTR/REAL ESTATE</v>
      </c>
      <c r="I505" t="str">
        <f>CLEAN("RE OPS/RECST                       ")</f>
        <v xml:space="preserve">RE OPS/RECST                       </v>
      </c>
      <c r="J505" t="str">
        <f>CLEAN("STH 042")</f>
        <v>STH 042</v>
      </c>
      <c r="K505" t="str">
        <f>CLEAN("DOOR                          ")</f>
        <v xml:space="preserve">DOOR                          </v>
      </c>
      <c r="L505" t="str">
        <f>CLEAN("STURGEON BAY - EGG HARBOR          ")</f>
        <v xml:space="preserve">STURGEON BAY - EGG HARBOR          </v>
      </c>
      <c r="M505" t="str">
        <f>CLEAN("CTH BB INTERSECTION                ")</f>
        <v xml:space="preserve">CTH BB INTERSECTION                </v>
      </c>
      <c r="N505">
        <v>0.5</v>
      </c>
      <c r="O505" t="str">
        <f t="shared" si="181"/>
        <v xml:space="preserve">          </v>
      </c>
      <c r="P505" t="str">
        <f t="shared" si="182"/>
        <v xml:space="preserve">STATE 3R                                                                                            </v>
      </c>
    </row>
    <row r="506" spans="1:16" x14ac:dyDescent="0.25">
      <c r="A506" t="str">
        <f t="shared" si="176"/>
        <v>10</v>
      </c>
      <c r="B506" t="str">
        <f t="shared" si="184"/>
        <v>23</v>
      </c>
      <c r="C506" s="1">
        <v>46047</v>
      </c>
      <c r="D506" t="str">
        <f>CLEAN("4161-03-20")</f>
        <v>4161-03-20</v>
      </c>
      <c r="E506" t="str">
        <f t="shared" si="178"/>
        <v xml:space="preserve">303  </v>
      </c>
      <c r="F506" t="str">
        <f>CLEAN("$0 - $99,999             ")</f>
        <v xml:space="preserve">$0 - $99,999             </v>
      </c>
      <c r="G506" t="str">
        <f>CLEAN("R/E")</f>
        <v>R/E</v>
      </c>
      <c r="H506" t="str">
        <f t="shared" si="183"/>
        <v>NONLET CONSTR/REAL ESTATE</v>
      </c>
      <c r="I506" t="str">
        <f>CLEAN("RE OPS/PVRPLA                      ")</f>
        <v xml:space="preserve">RE OPS/PVRPLA                      </v>
      </c>
      <c r="J506" t="str">
        <f>CLEAN("STH X04")</f>
        <v>STH X04</v>
      </c>
      <c r="K506" t="str">
        <f>CLEAN("BROWN                         ")</f>
        <v xml:space="preserve">BROWN                         </v>
      </c>
      <c r="L506" t="str">
        <f>CLEAN("ASHLAND AVE, C DE PERE             ")</f>
        <v xml:space="preserve">ASHLAND AVE, C DE PERE             </v>
      </c>
      <c r="M506" t="str">
        <f>CLEAN("IH 41 - N 9TH STREET               ")</f>
        <v xml:space="preserve">IH 41 - N 9TH STREET               </v>
      </c>
      <c r="N506">
        <v>0.50700000000000001</v>
      </c>
      <c r="O506" t="str">
        <f t="shared" si="181"/>
        <v xml:space="preserve">          </v>
      </c>
      <c r="P506" t="str">
        <f>CLEAN("BACKBONE                                                                                            ")</f>
        <v xml:space="preserve">BACKBONE                                                                                            </v>
      </c>
    </row>
    <row r="507" spans="1:16" x14ac:dyDescent="0.25">
      <c r="A507" t="str">
        <f t="shared" si="176"/>
        <v>10</v>
      </c>
      <c r="B507" t="str">
        <f t="shared" si="184"/>
        <v>23</v>
      </c>
      <c r="C507" s="1">
        <v>45894</v>
      </c>
      <c r="D507" t="str">
        <f>CLEAN("4190-17-21")</f>
        <v>4190-17-21</v>
      </c>
      <c r="E507" t="str">
        <f t="shared" si="178"/>
        <v xml:space="preserve">303  </v>
      </c>
      <c r="F507" t="str">
        <f>CLEAN("$250,000 - $499,999      ")</f>
        <v xml:space="preserve">$250,000 - $499,999      </v>
      </c>
      <c r="G507" t="str">
        <f>CLEAN("R/E")</f>
        <v>R/E</v>
      </c>
      <c r="H507" t="str">
        <f t="shared" si="183"/>
        <v>NONLET CONSTR/REAL ESTATE</v>
      </c>
      <c r="I507" t="str">
        <f>CLEAN("RE OPS/PVRPLA                      ")</f>
        <v xml:space="preserve">RE OPS/PVRPLA                      </v>
      </c>
      <c r="J507" t="str">
        <f>CLEAN("STH 032")</f>
        <v>STH 032</v>
      </c>
      <c r="K507" t="str">
        <f>CLEAN("BROWN                         ")</f>
        <v xml:space="preserve">BROWN                         </v>
      </c>
      <c r="L507" t="str">
        <f>CLEAN("MAIN &amp; REID ST, C DE PERE          ")</f>
        <v xml:space="preserve">MAIN &amp; REID ST, C DE PERE          </v>
      </c>
      <c r="M507" t="str">
        <f>CLEAN("3RD ST - 8TH ST                    ")</f>
        <v xml:space="preserve">3RD ST - 8TH ST                    </v>
      </c>
      <c r="N507">
        <v>1.1000000000000001</v>
      </c>
      <c r="O507" t="str">
        <f t="shared" si="181"/>
        <v xml:space="preserve">          </v>
      </c>
      <c r="P507" t="str">
        <f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508" spans="1:16" x14ac:dyDescent="0.25">
      <c r="A508" t="str">
        <f t="shared" si="176"/>
        <v>10</v>
      </c>
      <c r="B508" t="str">
        <f t="shared" si="184"/>
        <v>23</v>
      </c>
      <c r="C508" s="1">
        <v>46137</v>
      </c>
      <c r="D508" t="str">
        <f>CLEAN("4190-19-20")</f>
        <v>4190-19-20</v>
      </c>
      <c r="E508" t="str">
        <f t="shared" si="178"/>
        <v xml:space="preserve">303  </v>
      </c>
      <c r="F508" t="str">
        <f>CLEAN("$0 - $99,999             ")</f>
        <v xml:space="preserve">$0 - $99,999             </v>
      </c>
      <c r="G508" t="str">
        <f>CLEAN("R/E")</f>
        <v>R/E</v>
      </c>
      <c r="H508" t="str">
        <f t="shared" si="183"/>
        <v>NONLET CONSTR/REAL ESTATE</v>
      </c>
      <c r="I508" t="str">
        <f>CLEAN("RE OPS/MISC                        ")</f>
        <v xml:space="preserve">RE OPS/MISC                        </v>
      </c>
      <c r="J508" t="str">
        <f>CLEAN("STH 032")</f>
        <v>STH 032</v>
      </c>
      <c r="K508" t="str">
        <f>CLEAN("BROWN                         ")</f>
        <v xml:space="preserve">BROWN                         </v>
      </c>
      <c r="L508" t="str">
        <f>CLEAN("C GREEN BAY, ASHLAND AVE           ")</f>
        <v xml:space="preserve">C GREEN BAY, ASHLAND AVE           </v>
      </c>
      <c r="M508" t="str">
        <f>CLEAN("9TH STREET INTERSECTION            ")</f>
        <v xml:space="preserve">9TH STREET INTERSECTION            </v>
      </c>
      <c r="N508">
        <v>4.1000000000000002E-2</v>
      </c>
      <c r="O508" t="str">
        <f t="shared" si="181"/>
        <v xml:space="preserve">          </v>
      </c>
      <c r="P508" t="str">
        <f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509" spans="1:16" x14ac:dyDescent="0.25">
      <c r="A509" t="str">
        <f t="shared" ref="A509:A537" si="185">CLEAN("10")</f>
        <v>10</v>
      </c>
      <c r="B509" t="str">
        <f t="shared" si="184"/>
        <v>23</v>
      </c>
      <c r="C509" s="1">
        <v>46091</v>
      </c>
      <c r="D509" t="str">
        <f>CLEAN("4204-10-70")</f>
        <v>4204-10-70</v>
      </c>
      <c r="E509" t="str">
        <f>CLEAN("205  ")</f>
        <v xml:space="preserve">205  </v>
      </c>
      <c r="F509" t="str">
        <f>CLEAN("$500,000 - $749,999      ")</f>
        <v xml:space="preserve">$500,000 - $749,999      </v>
      </c>
      <c r="G509" t="str">
        <f>CLEAN("LET")</f>
        <v>LET</v>
      </c>
      <c r="H509" t="str">
        <f>CLEAN("LET CONSTRUCTION         ")</f>
        <v xml:space="preserve">LET CONSTRUCTION         </v>
      </c>
      <c r="I509" t="str">
        <f>CLEAN("CONST OPS/BRRPL B-59-0120          ")</f>
        <v xml:space="preserve">CONST OPS/BRRPL B-59-0120          </v>
      </c>
      <c r="J509" t="str">
        <f>CLEAN("LOC STR")</f>
        <v>LOC STR</v>
      </c>
      <c r="K509" t="str">
        <f>CLEAN("SHEBOYGAN                     ")</f>
        <v xml:space="preserve">SHEBOYGAN                     </v>
      </c>
      <c r="L509" t="str">
        <f>CLEAN("T PLYMOUTH, RIVER HEIGHTS DRIVE    ")</f>
        <v xml:space="preserve">T PLYMOUTH, RIVER HEIGHTS DRIVE    </v>
      </c>
      <c r="M509" t="str">
        <f>CLEAN("MULLET RIVER BRIDGE                ")</f>
        <v xml:space="preserve">MULLET RIVER BRIDGE                </v>
      </c>
      <c r="N509">
        <v>0.02</v>
      </c>
      <c r="O509" t="str">
        <f t="shared" si="181"/>
        <v xml:space="preserve">          </v>
      </c>
      <c r="P509" t="str">
        <f>CLEAN("LOCAL BRIDGES                                                                                       ")</f>
        <v xml:space="preserve">LOCAL BRIDGES                                                                                       </v>
      </c>
    </row>
    <row r="510" spans="1:16" x14ac:dyDescent="0.25">
      <c r="A510" t="str">
        <f t="shared" si="185"/>
        <v>10</v>
      </c>
      <c r="B510" t="str">
        <f t="shared" si="184"/>
        <v>23</v>
      </c>
      <c r="C510" s="1">
        <v>45972</v>
      </c>
      <c r="D510" t="str">
        <f>CLEAN("4273-00-71")</f>
        <v>4273-00-71</v>
      </c>
      <c r="E510" t="str">
        <f>CLEAN("205  ")</f>
        <v xml:space="preserve">205  </v>
      </c>
      <c r="F510" t="str">
        <f>CLEAN("$1,000,000 - $1,999,999  ")</f>
        <v xml:space="preserve">$1,000,000 - $1,999,999  </v>
      </c>
      <c r="G510" t="str">
        <f>CLEAN("LET")</f>
        <v>LET</v>
      </c>
      <c r="H510" t="str">
        <f>CLEAN("LET CONSTRUCTION         ")</f>
        <v xml:space="preserve">LET CONSTRUCTION         </v>
      </c>
      <c r="I510" t="str">
        <f>CLEAN("CONST OPS/BRRPL/B590330            ")</f>
        <v xml:space="preserve">CONST OPS/BRRPL/B590330            </v>
      </c>
      <c r="J510" t="str">
        <f>CLEAN("CTH OO ")</f>
        <v xml:space="preserve">CTH OO </v>
      </c>
      <c r="K510" t="str">
        <f>CLEAN("SHEBOYGAN                     ")</f>
        <v xml:space="preserve">SHEBOYGAN                     </v>
      </c>
      <c r="L510" t="str">
        <f>CLEAN("LIMA - SHEBOYGAN FALLS             ")</f>
        <v xml:space="preserve">LIMA - SHEBOYGAN FALLS             </v>
      </c>
      <c r="M510" t="str">
        <f>CLEAN("ONION RIVER BRIDGE                 ")</f>
        <v xml:space="preserve">ONION RIVER BRIDGE                 </v>
      </c>
      <c r="N510">
        <v>9.9000000000000005E-2</v>
      </c>
      <c r="O510" t="str">
        <f t="shared" si="181"/>
        <v xml:space="preserve">          </v>
      </c>
      <c r="P510" t="str">
        <f>CLEAN("LOCAL BRIDGES                                                                                       ")</f>
        <v xml:space="preserve">LOCAL BRIDGES                                                                                       </v>
      </c>
    </row>
    <row r="511" spans="1:16" x14ac:dyDescent="0.25">
      <c r="A511" t="str">
        <f t="shared" si="185"/>
        <v>10</v>
      </c>
      <c r="B511" t="str">
        <f t="shared" si="184"/>
        <v>23</v>
      </c>
      <c r="C511" s="1">
        <v>45925</v>
      </c>
      <c r="D511" t="str">
        <f>CLEAN("4277-03-00")</f>
        <v>4277-03-00</v>
      </c>
      <c r="E511" t="str">
        <f>CLEAN("206  ")</f>
        <v xml:space="preserve">206  </v>
      </c>
      <c r="F511" t="str">
        <f>CLEAN("$100,000-$249,999        ")</f>
        <v xml:space="preserve">$100,000-$249,999        </v>
      </c>
      <c r="G511" t="str">
        <f>CLEAN("MIS")</f>
        <v>MIS</v>
      </c>
      <c r="H511" t="str">
        <f>CLEAN("NONLET CONSTR/REAL ESTATE")</f>
        <v>NONLET CONSTR/REAL ESTATE</v>
      </c>
      <c r="I511" t="str">
        <f>CLEAN("DSGN/FULL PSE/MISC/CRP             ")</f>
        <v xml:space="preserve">DSGN/FULL PSE/MISC/CRP             </v>
      </c>
      <c r="J511" t="str">
        <f>CLEAN("STH 032")</f>
        <v>STH 032</v>
      </c>
      <c r="K511" t="str">
        <f>CLEAN("SHEBOYGAN                     ")</f>
        <v xml:space="preserve">SHEBOYGAN                     </v>
      </c>
      <c r="L511" t="str">
        <f>CLEAN("C SHEBOYGAN FALLS, STH 32 TRAIL    ")</f>
        <v xml:space="preserve">C SHEBOYGAN FALLS, STH 32 TRAIL    </v>
      </c>
      <c r="M511" t="str">
        <f>CLEAN("WILLOW DRIVE - HAMANN DRIVE        ")</f>
        <v xml:space="preserve">WILLOW DRIVE - HAMANN DRIVE        </v>
      </c>
      <c r="N511">
        <v>0.188</v>
      </c>
      <c r="O511" t="str">
        <f t="shared" si="181"/>
        <v xml:space="preserve">          </v>
      </c>
      <c r="P511" t="str">
        <f>CLEAN("CARBON REDUCTION  50,000 - 200,000                                                                  ")</f>
        <v xml:space="preserve">CARBON REDUCTION  50,000 - 200,000                                                                  </v>
      </c>
    </row>
    <row r="512" spans="1:16" x14ac:dyDescent="0.25">
      <c r="A512" t="str">
        <f t="shared" si="185"/>
        <v>10</v>
      </c>
      <c r="B512" t="str">
        <f t="shared" si="184"/>
        <v>23</v>
      </c>
      <c r="C512" s="1">
        <v>45881</v>
      </c>
      <c r="D512" t="str">
        <f>CLEAN("4386-00-01")</f>
        <v>4386-00-01</v>
      </c>
      <c r="E512" t="str">
        <f>CLEAN("205  ")</f>
        <v xml:space="preserve">205  </v>
      </c>
      <c r="F512" t="str">
        <f>CLEAN("$750,000 - $999,999      ")</f>
        <v xml:space="preserve">$750,000 - $999,999      </v>
      </c>
      <c r="G512" t="str">
        <f>CLEAN("LET")</f>
        <v>LET</v>
      </c>
      <c r="H512" t="str">
        <f>CLEAN("LET CONSTRUCTION         ")</f>
        <v xml:space="preserve">LET CONSTRUCTION         </v>
      </c>
      <c r="I512" t="str">
        <f>CLEAN("CONST/BRRPL/B-31-0113              ")</f>
        <v xml:space="preserve">CONST/BRRPL/B-31-0113              </v>
      </c>
      <c r="J512" t="str">
        <f>CLEAN("CTH KB ")</f>
        <v xml:space="preserve">CTH KB </v>
      </c>
      <c r="K512" t="str">
        <f>CLEAN("KEWAUNEE                      ")</f>
        <v xml:space="preserve">KEWAUNEE                      </v>
      </c>
      <c r="L512" t="str">
        <f>CLEAN("KEWAUNEE CO, CTH KB                ")</f>
        <v xml:space="preserve">KEWAUNEE CO, CTH KB                </v>
      </c>
      <c r="M512" t="str">
        <f>CLEAN("BLACK CREEK BRIDGE                 ")</f>
        <v xml:space="preserve">BLACK CREEK BRIDGE                 </v>
      </c>
      <c r="N512">
        <v>2.7E-2</v>
      </c>
      <c r="O512" t="str">
        <f t="shared" si="181"/>
        <v xml:space="preserve">          </v>
      </c>
      <c r="P512" t="str">
        <f>CLEAN("LOCAL BRIDGES                                                                                       ")</f>
        <v xml:space="preserve">LOCAL BRIDGES                                                                                       </v>
      </c>
    </row>
    <row r="513" spans="1:16" x14ac:dyDescent="0.25">
      <c r="A513" t="str">
        <f t="shared" si="185"/>
        <v>10</v>
      </c>
      <c r="B513" t="str">
        <f t="shared" si="184"/>
        <v>23</v>
      </c>
      <c r="C513" s="1">
        <v>45881</v>
      </c>
      <c r="D513" t="str">
        <f>CLEAN("4430-22-71")</f>
        <v>4430-22-71</v>
      </c>
      <c r="E513" t="str">
        <f>CLEAN("303  ")</f>
        <v xml:space="preserve">303  </v>
      </c>
      <c r="F513" t="str">
        <f>CLEAN("$750,000 - $999,999      ")</f>
        <v xml:space="preserve">$750,000 - $999,999      </v>
      </c>
      <c r="G513" t="str">
        <f>CLEAN("LET")</f>
        <v>LET</v>
      </c>
      <c r="H513" t="str">
        <f>CLEAN("LET CONSTRUCTION         ")</f>
        <v xml:space="preserve">LET CONSTRUCTION         </v>
      </c>
      <c r="I513" t="str">
        <f>CLEAN("CONST OPS/BRRPL                    ")</f>
        <v xml:space="preserve">CONST OPS/BRRPL                    </v>
      </c>
      <c r="J513" t="str">
        <f>CLEAN("STH 042")</f>
        <v>STH 042</v>
      </c>
      <c r="K513" t="str">
        <f>CLEAN("DOOR                          ")</f>
        <v xml:space="preserve">DOOR                          </v>
      </c>
      <c r="L513" t="str">
        <f>CLEAN("ALGOMA - STURGEON BAY              ")</f>
        <v xml:space="preserve">ALGOMA - STURGEON BAY              </v>
      </c>
      <c r="M513" t="str">
        <f>CLEAN("CTH X - CENTER ROAD                ")</f>
        <v xml:space="preserve">CTH X - CENTER ROAD                </v>
      </c>
      <c r="N513">
        <v>0</v>
      </c>
      <c r="O513" t="str">
        <f t="shared" si="181"/>
        <v xml:space="preserve">          </v>
      </c>
      <c r="P513" t="str">
        <f>CLEAN("SHR BRIDGES                                                                                         ")</f>
        <v xml:space="preserve">SHR BRIDGES                                                                                         </v>
      </c>
    </row>
    <row r="514" spans="1:16" x14ac:dyDescent="0.25">
      <c r="A514" t="str">
        <f t="shared" si="185"/>
        <v>10</v>
      </c>
      <c r="B514" t="str">
        <f t="shared" si="184"/>
        <v>23</v>
      </c>
      <c r="C514" s="1">
        <v>45881</v>
      </c>
      <c r="D514" t="str">
        <f>CLEAN("4472-05-71")</f>
        <v>4472-05-71</v>
      </c>
      <c r="E514" t="str">
        <f>CLEAN("205  ")</f>
        <v xml:space="preserve">205  </v>
      </c>
      <c r="F514" t="str">
        <f>CLEAN("$500,000 - $749,999      ")</f>
        <v xml:space="preserve">$500,000 - $749,999      </v>
      </c>
      <c r="G514" t="str">
        <f>CLEAN("LET")</f>
        <v>LET</v>
      </c>
      <c r="H514" t="str">
        <f>CLEAN("LET CONSTRUCTION         ")</f>
        <v xml:space="preserve">LET CONSTRUCTION         </v>
      </c>
      <c r="I514" t="str">
        <f>CLEAN("CONST OPS/BRRPL B080122            ")</f>
        <v xml:space="preserve">CONST OPS/BRRPL B080122            </v>
      </c>
      <c r="J514" t="str">
        <f>CLEAN("LOC STR")</f>
        <v>LOC STR</v>
      </c>
      <c r="K514" t="str">
        <f>CLEAN("CALUMET                       ")</f>
        <v xml:space="preserve">CALUMET                       </v>
      </c>
      <c r="L514" t="str">
        <f>CLEAN("CHILTON - CHARLESTOWN              ")</f>
        <v xml:space="preserve">CHILTON - CHARLESTOWN              </v>
      </c>
      <c r="M514" t="str">
        <f>CLEAN("BRANCH OF PINE CREEK BRIDGE        ")</f>
        <v xml:space="preserve">BRANCH OF PINE CREEK BRIDGE        </v>
      </c>
      <c r="N514">
        <v>1.7999999999999999E-2</v>
      </c>
      <c r="O514" t="str">
        <f t="shared" si="181"/>
        <v xml:space="preserve">          </v>
      </c>
      <c r="P514" t="str">
        <f>CLEAN("LOCAL BRIDGES                                                                                       ")</f>
        <v xml:space="preserve">LOCAL BRIDGES                                                                                       </v>
      </c>
    </row>
    <row r="515" spans="1:16" x14ac:dyDescent="0.25">
      <c r="A515" t="str">
        <f t="shared" si="185"/>
        <v>10</v>
      </c>
      <c r="B515" t="str">
        <f t="shared" si="184"/>
        <v>23</v>
      </c>
      <c r="C515" s="1">
        <v>46000</v>
      </c>
      <c r="D515" t="str">
        <f>CLEAN("4482-00-01")</f>
        <v>4482-00-01</v>
      </c>
      <c r="E515" t="str">
        <f>CLEAN("206  ")</f>
        <v xml:space="preserve">206  </v>
      </c>
      <c r="F515" t="str">
        <f>CLEAN("$2,000,000 - $2,999,999  ")</f>
        <v xml:space="preserve">$2,000,000 - $2,999,999  </v>
      </c>
      <c r="G515" t="str">
        <f>CLEAN("LET")</f>
        <v>LET</v>
      </c>
      <c r="H515" t="str">
        <f>CLEAN("LET CONSTRUCTION         ")</f>
        <v xml:space="preserve">LET CONSTRUCTION         </v>
      </c>
      <c r="I515" t="str">
        <f>CLEAN("CONST OPS/PVRPLA                   ")</f>
        <v xml:space="preserve">CONST OPS/PVRPLA                   </v>
      </c>
      <c r="J515" t="str">
        <f>CLEAN("CTH B  ")</f>
        <v xml:space="preserve">CTH B  </v>
      </c>
      <c r="K515" t="str">
        <f>CLEAN("CALUMET                       ")</f>
        <v xml:space="preserve">CALUMET                       </v>
      </c>
      <c r="L515" t="str">
        <f>CLEAN("CALUMET CO, CTH B                  ")</f>
        <v xml:space="preserve">CALUMET CO, CTH B                  </v>
      </c>
      <c r="M515" t="str">
        <f>CLEAN("STH 55 TO STH 32                   ")</f>
        <v xml:space="preserve">STH 55 TO STH 32                   </v>
      </c>
      <c r="N515">
        <v>4.806</v>
      </c>
      <c r="O515" t="str">
        <f t="shared" si="181"/>
        <v xml:space="preserve">          </v>
      </c>
      <c r="P515" t="str">
        <f>CLEAN("STP RURAL                                                                                           ")</f>
        <v xml:space="preserve">STP RURAL                                                                                           </v>
      </c>
    </row>
    <row r="516" spans="1:16" x14ac:dyDescent="0.25">
      <c r="A516" t="str">
        <f t="shared" si="185"/>
        <v>10</v>
      </c>
      <c r="B516" t="str">
        <f t="shared" si="184"/>
        <v>23</v>
      </c>
      <c r="C516" s="1">
        <v>46106</v>
      </c>
      <c r="D516" t="str">
        <f>CLEAN("4507-03-70")</f>
        <v>4507-03-70</v>
      </c>
      <c r="E516" t="str">
        <f>CLEAN("290  ")</f>
        <v xml:space="preserve">290  </v>
      </c>
      <c r="F516" t="str">
        <f>CLEAN("$250,000 - $499,999      ")</f>
        <v xml:space="preserve">$250,000 - $499,999      </v>
      </c>
      <c r="G516" t="str">
        <f>CLEAN("LLC")</f>
        <v>LLC</v>
      </c>
      <c r="H516" t="str">
        <f>CLEAN("NONLET CONSTR/REAL ESTATE")</f>
        <v>NONLET CONSTR/REAL ESTATE</v>
      </c>
      <c r="I516" t="str">
        <f>CLEAN("CONST OPS/MISC BIKE/PED TRAIL      ")</f>
        <v xml:space="preserve">CONST OPS/MISC BIKE/PED TRAIL      </v>
      </c>
      <c r="J516" t="str">
        <f>CLEAN("NON HWY")</f>
        <v>NON HWY</v>
      </c>
      <c r="K516" t="str">
        <f>CLEAN("BROWN                         ")</f>
        <v xml:space="preserve">BROWN                         </v>
      </c>
      <c r="L516" t="str">
        <f>CLEAN("T SCOTT, BAY SETTLEMENT TRAIL      ")</f>
        <v xml:space="preserve">T SCOTT, BAY SETTLEMENT TRAIL      </v>
      </c>
      <c r="M516" t="str">
        <f>CLEAN("CHAMPION RD - FISCHER RD           ")</f>
        <v xml:space="preserve">CHAMPION RD - FISCHER RD           </v>
      </c>
      <c r="N516">
        <v>0.37</v>
      </c>
      <c r="O516" t="str">
        <f t="shared" si="181"/>
        <v xml:space="preserve">          </v>
      </c>
      <c r="P516" t="str">
        <f>CLEAN("TAP &gt; 200,000                                                                                       ")</f>
        <v xml:space="preserve">TAP &gt; 200,000                                                                                       </v>
      </c>
    </row>
    <row r="517" spans="1:16" x14ac:dyDescent="0.25">
      <c r="A517" t="str">
        <f t="shared" si="185"/>
        <v>10</v>
      </c>
      <c r="B517" t="str">
        <f t="shared" si="184"/>
        <v>23</v>
      </c>
      <c r="C517" s="1">
        <v>46063</v>
      </c>
      <c r="D517" t="str">
        <f>CLEAN("4516-11-73")</f>
        <v>4516-11-73</v>
      </c>
      <c r="E517" t="str">
        <f>CLEAN("206  ")</f>
        <v xml:space="preserve">206  </v>
      </c>
      <c r="F517" t="str">
        <f>CLEAN("$1,000,000 - $1,999,999  ")</f>
        <v xml:space="preserve">$1,000,000 - $1,999,999  </v>
      </c>
      <c r="G517" t="str">
        <f>CLEAN("LET")</f>
        <v>LET</v>
      </c>
      <c r="H517" t="str">
        <f>CLEAN("LET CONSTRUCTION         ")</f>
        <v xml:space="preserve">LET CONSTRUCTION         </v>
      </c>
      <c r="I517" t="str">
        <f>CLEAN("CONST OPS/RECST                    ")</f>
        <v xml:space="preserve">CONST OPS/RECST                    </v>
      </c>
      <c r="J517" t="str">
        <f>CLEAN("LOC STR")</f>
        <v>LOC STR</v>
      </c>
      <c r="K517" t="str">
        <f>CLEAN("BROWN                         ")</f>
        <v xml:space="preserve">BROWN                         </v>
      </c>
      <c r="L517" t="str">
        <f>CLEAN("V BELLEVUE, HOFFMAN ROAD           ")</f>
        <v xml:space="preserve">V BELLEVUE, HOFFMAN ROAD           </v>
      </c>
      <c r="M517" t="str">
        <f>CLEAN("BELLEVUE STREET TO MONROE ROAD     ")</f>
        <v xml:space="preserve">BELLEVUE STREET TO MONROE ROAD     </v>
      </c>
      <c r="N517">
        <v>0.7</v>
      </c>
      <c r="O517" t="str">
        <f>CLEAN("4516-12-75")</f>
        <v>4516-12-75</v>
      </c>
      <c r="P517" t="str">
        <f>CLEAN("STP URBAN OVER 200,000                                                                              ")</f>
        <v xml:space="preserve">STP URBAN OVER 200,000                                                                              </v>
      </c>
    </row>
    <row r="518" spans="1:16" x14ac:dyDescent="0.25">
      <c r="A518" t="str">
        <f t="shared" si="185"/>
        <v>10</v>
      </c>
      <c r="B518" t="str">
        <f t="shared" si="184"/>
        <v>23</v>
      </c>
      <c r="C518" s="1">
        <v>46063</v>
      </c>
      <c r="D518" t="str">
        <f>CLEAN("4516-12-75")</f>
        <v>4516-12-75</v>
      </c>
      <c r="E518" t="str">
        <f>CLEAN("206  ")</f>
        <v xml:space="preserve">206  </v>
      </c>
      <c r="F518" t="str">
        <f>CLEAN("$750,000 - $999,999      ")</f>
        <v xml:space="preserve">$750,000 - $999,999      </v>
      </c>
      <c r="G518" t="str">
        <f>CLEAN("LET")</f>
        <v>LET</v>
      </c>
      <c r="H518" t="str">
        <f>CLEAN("LET CONSTRUCTION         ")</f>
        <v xml:space="preserve">LET CONSTRUCTION         </v>
      </c>
      <c r="I518" t="str">
        <f>CLEAN("CONST OPS/RECST                    ")</f>
        <v xml:space="preserve">CONST OPS/RECST                    </v>
      </c>
      <c r="J518" t="str">
        <f>CLEAN("LOC STR")</f>
        <v>LOC STR</v>
      </c>
      <c r="K518" t="str">
        <f>CLEAN("BROWN                         ")</f>
        <v xml:space="preserve">BROWN                         </v>
      </c>
      <c r="L518" t="str">
        <f>CLEAN("V BELLEVUE, ONTARIO ROAD           ")</f>
        <v xml:space="preserve">V BELLEVUE, ONTARIO ROAD           </v>
      </c>
      <c r="M518" t="str">
        <f>CLEAN("EATON ROAD TO NORTH VILLAGE LIMITS ")</f>
        <v xml:space="preserve">EATON ROAD TO NORTH VILLAGE LIMITS </v>
      </c>
      <c r="N518">
        <v>0.42199999999999999</v>
      </c>
      <c r="O518" t="str">
        <f>CLEAN("4516-11-73")</f>
        <v>4516-11-73</v>
      </c>
      <c r="P518" t="str">
        <f>CLEAN("STP URBAN OVER 200,000                                                                              ")</f>
        <v xml:space="preserve">STP URBAN OVER 200,000                                                                              </v>
      </c>
    </row>
    <row r="519" spans="1:16" x14ac:dyDescent="0.25">
      <c r="A519" t="str">
        <f t="shared" si="185"/>
        <v>10</v>
      </c>
      <c r="B519" t="str">
        <f t="shared" si="184"/>
        <v>23</v>
      </c>
      <c r="C519" s="1">
        <v>45894</v>
      </c>
      <c r="D519" t="str">
        <f>CLEAN("4519-00-01")</f>
        <v>4519-00-01</v>
      </c>
      <c r="E519" t="str">
        <f>CLEAN("209  ")</f>
        <v xml:space="preserve">209  </v>
      </c>
      <c r="F519" t="str">
        <f>CLEAN("$1,000,000 - $1,999,999  ")</f>
        <v xml:space="preserve">$1,000,000 - $1,999,999  </v>
      </c>
      <c r="G519" t="str">
        <f>CLEAN("ATR")</f>
        <v>ATR</v>
      </c>
      <c r="H519" t="str">
        <f>CLEAN("NONLET CONSTR/REAL ESTATE")</f>
        <v>NONLET CONSTR/REAL ESTATE</v>
      </c>
      <c r="I519" t="str">
        <f>CLEAN("RAILROAD SPUR / LLC / TEA          ")</f>
        <v xml:space="preserve">RAILROAD SPUR / LLC / TEA          </v>
      </c>
      <c r="J519" t="str">
        <f>CLEAN("NON HWY")</f>
        <v>NON HWY</v>
      </c>
      <c r="K519" t="str">
        <f>CLEAN("BROWN                         ")</f>
        <v xml:space="preserve">BROWN                         </v>
      </c>
      <c r="L519" t="str">
        <f>CLEAN("V. WRIGHTSTOWN - DREXEL LUMBERS    ")</f>
        <v xml:space="preserve">V. WRIGHTSTOWN - DREXEL LUMBERS    </v>
      </c>
      <c r="M519" t="str">
        <f>CLEAN("1,384'SPUR-DREXEL TR./CANADIAN TR. ")</f>
        <v xml:space="preserve">1,384'SPUR-DREXEL TR./CANADIAN TR. </v>
      </c>
      <c r="N519">
        <v>0.79100000000000004</v>
      </c>
      <c r="O519" t="str">
        <f t="shared" ref="O519:O529" si="186">CLEAN("          ")</f>
        <v xml:space="preserve">          </v>
      </c>
      <c r="P519" t="str">
        <f>CLEAN("TRANS ECONOMIC ASSISTANCE (TEA)                                                                     ")</f>
        <v xml:space="preserve">TRANS ECONOMIC ASSISTANCE (TEA)                                                                     </v>
      </c>
    </row>
    <row r="520" spans="1:16" x14ac:dyDescent="0.25">
      <c r="A520" t="str">
        <f t="shared" si="185"/>
        <v>10</v>
      </c>
      <c r="B520" t="str">
        <f t="shared" si="184"/>
        <v>23</v>
      </c>
      <c r="C520" s="1">
        <v>45925</v>
      </c>
      <c r="D520" t="str">
        <f>CLEAN("4530-12-21")</f>
        <v>4530-12-21</v>
      </c>
      <c r="E520" t="str">
        <f>CLEAN("303  ")</f>
        <v xml:space="preserve">303  </v>
      </c>
      <c r="F520" t="str">
        <f>CLEAN("$0 - $99,999             ")</f>
        <v xml:space="preserve">$0 - $99,999             </v>
      </c>
      <c r="G520" t="str">
        <f>CLEAN("R/E")</f>
        <v>R/E</v>
      </c>
      <c r="H520" t="str">
        <f>CLEAN("NONLET CONSTR/REAL ESTATE")</f>
        <v>NONLET CONSTR/REAL ESTATE</v>
      </c>
      <c r="I520" t="str">
        <f>CLEAN("RE OPS/RSRF30                      ")</f>
        <v xml:space="preserve">RE OPS/RSRF30                      </v>
      </c>
      <c r="J520" t="str">
        <f>CLEAN("STH 067")</f>
        <v>STH 067</v>
      </c>
      <c r="K520" t="str">
        <f>CLEAN("SHEBOYGAN                     ")</f>
        <v xml:space="preserve">SHEBOYGAN                     </v>
      </c>
      <c r="L520" t="str">
        <f>CLEAN("CAMPBELLSPORT-PLYMOUTH             ")</f>
        <v xml:space="preserve">CAMPBELLSPORT-PLYMOUTH             </v>
      </c>
      <c r="M520" t="str">
        <f>CLEAN("WCL-CTH PP                         ")</f>
        <v xml:space="preserve">WCL-CTH PP                         </v>
      </c>
      <c r="N520">
        <v>8.8699999999999992</v>
      </c>
      <c r="O520" t="str">
        <f t="shared" si="186"/>
        <v xml:space="preserve">          </v>
      </c>
      <c r="P520" t="str">
        <f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521" spans="1:16" x14ac:dyDescent="0.25">
      <c r="A521" t="str">
        <f t="shared" si="185"/>
        <v>10</v>
      </c>
      <c r="B521" t="str">
        <f t="shared" si="184"/>
        <v>23</v>
      </c>
      <c r="C521" s="1">
        <v>46000</v>
      </c>
      <c r="D521" t="str">
        <f>CLEAN("4538-02-73")</f>
        <v>4538-02-73</v>
      </c>
      <c r="E521" t="str">
        <f>CLEAN("205  ")</f>
        <v xml:space="preserve">205  </v>
      </c>
      <c r="F521" t="str">
        <f>CLEAN("$1,000,000 - $1,999,999  ")</f>
        <v xml:space="preserve">$1,000,000 - $1,999,999  </v>
      </c>
      <c r="G521" t="str">
        <f>CLEAN("LET")</f>
        <v>LET</v>
      </c>
      <c r="H521" t="str">
        <f>CLEAN("LET CONSTRUCTION         ")</f>
        <v xml:space="preserve">LET CONSTRUCTION         </v>
      </c>
      <c r="I521" t="str">
        <f>CLEAN("CONST OPS/BRRPL/B-05-0485          ")</f>
        <v xml:space="preserve">CONST OPS/BRRPL/B-05-0485          </v>
      </c>
      <c r="J521" t="str">
        <f>CLEAN("CTH KB ")</f>
        <v xml:space="preserve">CTH KB </v>
      </c>
      <c r="K521" t="str">
        <f>CLEAN("BROWN                         ")</f>
        <v xml:space="preserve">BROWN                         </v>
      </c>
      <c r="L521" t="str">
        <f>CLEAN("BROWN CO, CTH KB                   ")</f>
        <v xml:space="preserve">BROWN CO, CTH KB                   </v>
      </c>
      <c r="M521" t="str">
        <f>CLEAN("NESHOTA RIVER BRIDGE               ")</f>
        <v xml:space="preserve">NESHOTA RIVER BRIDGE               </v>
      </c>
      <c r="N521">
        <v>9.4E-2</v>
      </c>
      <c r="O521" t="str">
        <f t="shared" si="186"/>
        <v xml:space="preserve">          </v>
      </c>
      <c r="P521" t="str">
        <f>CLEAN("LOCAL BRIDGES                                                                                       ")</f>
        <v xml:space="preserve">LOCAL BRIDGES                                                                                       </v>
      </c>
    </row>
    <row r="522" spans="1:16" x14ac:dyDescent="0.25">
      <c r="A522" t="str">
        <f t="shared" si="185"/>
        <v>10</v>
      </c>
      <c r="B522" t="str">
        <f t="shared" si="184"/>
        <v>23</v>
      </c>
      <c r="C522" s="1">
        <v>45925</v>
      </c>
      <c r="D522" t="str">
        <f>CLEAN("4540-37-21")</f>
        <v>4540-37-21</v>
      </c>
      <c r="E522" t="str">
        <f>CLEAN("303  ")</f>
        <v xml:space="preserve">303  </v>
      </c>
      <c r="F522" t="str">
        <f>CLEAN("$0 - $99,999             ")</f>
        <v xml:space="preserve">$0 - $99,999             </v>
      </c>
      <c r="G522" t="str">
        <f>CLEAN("R/E")</f>
        <v>R/E</v>
      </c>
      <c r="H522" t="str">
        <f>CLEAN("NONLET CONSTR/REAL ESTATE")</f>
        <v>NONLET CONSTR/REAL ESTATE</v>
      </c>
      <c r="I522" t="str">
        <f>CLEAN("RE OPS/RE ACQUISITION              ")</f>
        <v xml:space="preserve">RE OPS/RE ACQUISITION              </v>
      </c>
      <c r="J522" t="str">
        <f>CLEAN("STH 032")</f>
        <v>STH 032</v>
      </c>
      <c r="K522" t="str">
        <f>CLEAN("SHEBOYGAN                     ")</f>
        <v xml:space="preserve">SHEBOYGAN                     </v>
      </c>
      <c r="L522" t="str">
        <f>CLEAN("HOWARDS GROVE - KIEL               ")</f>
        <v xml:space="preserve">HOWARDS GROVE - KIEL               </v>
      </c>
      <c r="M522" t="str">
        <f>CLEAN("STH 42 - STH 32/57 SOUTH JUNCTION  ")</f>
        <v xml:space="preserve">STH 42 - STH 32/57 SOUTH JUNCTION  </v>
      </c>
      <c r="N522">
        <v>8.02</v>
      </c>
      <c r="O522" t="str">
        <f t="shared" si="186"/>
        <v xml:space="preserve">          </v>
      </c>
      <c r="P522" t="str">
        <f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523" spans="1:16" x14ac:dyDescent="0.25">
      <c r="A523" t="str">
        <f t="shared" si="185"/>
        <v>10</v>
      </c>
      <c r="B523" t="str">
        <f t="shared" si="184"/>
        <v>23</v>
      </c>
      <c r="C523" s="1">
        <v>45972</v>
      </c>
      <c r="D523" t="str">
        <f>CLEAN("4646-02-71")</f>
        <v>4646-02-71</v>
      </c>
      <c r="E523" t="str">
        <f>CLEAN("206  ")</f>
        <v xml:space="preserve">206  </v>
      </c>
      <c r="F523" t="str">
        <f>CLEAN("$10,000,000 - $10,999,999")</f>
        <v>$10,000,000 - $10,999,999</v>
      </c>
      <c r="G523" t="str">
        <f>CLEAN("LET")</f>
        <v>LET</v>
      </c>
      <c r="H523" t="str">
        <f>CLEAN("LET CONSTRUCTION         ")</f>
        <v xml:space="preserve">LET CONSTRUCTION         </v>
      </c>
      <c r="I523" t="str">
        <f>CLEAN("CONSTR OPS/RECST                   ")</f>
        <v xml:space="preserve">CONSTR OPS/RECST                   </v>
      </c>
      <c r="J523" t="str">
        <f>CLEAN("CTH P  ")</f>
        <v xml:space="preserve">CTH P  </v>
      </c>
      <c r="K523" t="str">
        <f>CLEAN("WINNEBAGO                     ")</f>
        <v xml:space="preserve">WINNEBAGO                     </v>
      </c>
      <c r="L523" t="str">
        <f>CLEAN("C MENASHA, CTH P                   ")</f>
        <v xml:space="preserve">C MENASHA, CTH P                   </v>
      </c>
      <c r="M523" t="str">
        <f>CLEAN("STH 47 TO MIDWAY ROAD              ")</f>
        <v xml:space="preserve">STH 47 TO MIDWAY ROAD              </v>
      </c>
      <c r="N523">
        <v>1.252</v>
      </c>
      <c r="O523" t="str">
        <f t="shared" si="186"/>
        <v xml:space="preserve">          </v>
      </c>
      <c r="P523" t="str">
        <f>CLEAN("STP URBAN OVER 200,000                                                                              ")</f>
        <v xml:space="preserve">STP URBAN OVER 200,000                                                                              </v>
      </c>
    </row>
    <row r="524" spans="1:16" x14ac:dyDescent="0.25">
      <c r="A524" t="str">
        <f t="shared" si="185"/>
        <v>10</v>
      </c>
      <c r="B524" t="str">
        <f t="shared" si="184"/>
        <v>23</v>
      </c>
      <c r="C524" s="1">
        <v>45925</v>
      </c>
      <c r="D524" t="str">
        <f>CLEAN("4656-09-70")</f>
        <v>4656-09-70</v>
      </c>
      <c r="E524" t="str">
        <f>CLEAN("290  ")</f>
        <v xml:space="preserve">290  </v>
      </c>
      <c r="F524" t="str">
        <f>CLEAN("$1,000,000 - $1,999,999  ")</f>
        <v xml:space="preserve">$1,000,000 - $1,999,999  </v>
      </c>
      <c r="G524" t="str">
        <f>CLEAN("LLC")</f>
        <v>LLC</v>
      </c>
      <c r="H524" t="str">
        <f>CLEAN("NONLET CONSTR/REAL ESTATE")</f>
        <v>NONLET CONSTR/REAL ESTATE</v>
      </c>
      <c r="I524" t="str">
        <f>CLEAN("CONST OPS/MISC BIKE/PED TRAIL      ")</f>
        <v xml:space="preserve">CONST OPS/MISC BIKE/PED TRAIL      </v>
      </c>
      <c r="J524" t="str">
        <f>CLEAN("LOC STR")</f>
        <v>LOC STR</v>
      </c>
      <c r="K524" t="str">
        <f>CLEAN("OUTAGAMIE                     ")</f>
        <v xml:space="preserve">OUTAGAMIE                     </v>
      </c>
      <c r="L524" t="str">
        <f>CLEAN("T BUCHANAN, EISENHOWER DRIVE TRAIL ")</f>
        <v xml:space="preserve">T BUCHANAN, EISENHOWER DRIVE TRAIL </v>
      </c>
      <c r="M524" t="str">
        <f>CLEAN("CTH KK - THEATER WAY               ")</f>
        <v xml:space="preserve">CTH KK - THEATER WAY               </v>
      </c>
      <c r="N524">
        <v>0.8</v>
      </c>
      <c r="O524" t="str">
        <f t="shared" si="186"/>
        <v xml:space="preserve">          </v>
      </c>
      <c r="P524" t="str">
        <f>CLEAN("TAP &gt; 200,000                                                                                       ")</f>
        <v xml:space="preserve">TAP &gt; 200,000                                                                                       </v>
      </c>
    </row>
    <row r="525" spans="1:16" x14ac:dyDescent="0.25">
      <c r="A525" t="str">
        <f t="shared" si="185"/>
        <v>10</v>
      </c>
      <c r="B525" t="str">
        <f t="shared" si="184"/>
        <v>23</v>
      </c>
      <c r="C525" s="1">
        <v>46063</v>
      </c>
      <c r="D525" t="str">
        <f>CLEAN("4676-04-71")</f>
        <v>4676-04-71</v>
      </c>
      <c r="E525" t="str">
        <f>CLEAN("206  ")</f>
        <v xml:space="preserve">206  </v>
      </c>
      <c r="F525" t="str">
        <f>CLEAN("$5,000,000 - $5,999,999  ")</f>
        <v xml:space="preserve">$5,000,000 - $5,999,999  </v>
      </c>
      <c r="G525" t="str">
        <f>CLEAN("LET")</f>
        <v>LET</v>
      </c>
      <c r="H525" t="str">
        <f>CLEAN("LET CONSTRUCTION         ")</f>
        <v xml:space="preserve">LET CONSTRUCTION         </v>
      </c>
      <c r="I525" t="str">
        <f>CLEAN("CONST OPS/RECST                    ")</f>
        <v xml:space="preserve">CONST OPS/RECST                    </v>
      </c>
      <c r="J525" t="str">
        <f>CLEAN("CTH N  ")</f>
        <v xml:space="preserve">CTH N  </v>
      </c>
      <c r="K525" t="str">
        <f>CLEAN("OUTAGAMIE                     ")</f>
        <v xml:space="preserve">OUTAGAMIE                     </v>
      </c>
      <c r="L525" t="str">
        <f>CLEAN("T BUCHANAN, CTH N                  ")</f>
        <v xml:space="preserve">T BUCHANAN, CTH N                  </v>
      </c>
      <c r="M525" t="str">
        <f>CLEAN("CTH KK TO CTH CE                   ")</f>
        <v xml:space="preserve">CTH KK TO CTH CE                   </v>
      </c>
      <c r="N525">
        <v>0.89600000000000002</v>
      </c>
      <c r="O525" t="str">
        <f t="shared" si="186"/>
        <v xml:space="preserve">          </v>
      </c>
      <c r="P525" t="str">
        <f>CLEAN("STP URBAN OVER 200,000                                                                              ")</f>
        <v xml:space="preserve">STP URBAN OVER 200,000                                                                              </v>
      </c>
    </row>
    <row r="526" spans="1:16" x14ac:dyDescent="0.25">
      <c r="A526" t="str">
        <f t="shared" si="185"/>
        <v>10</v>
      </c>
      <c r="B526" t="str">
        <f t="shared" si="184"/>
        <v>23</v>
      </c>
      <c r="C526" s="1">
        <v>46035</v>
      </c>
      <c r="D526" t="str">
        <f>CLEAN("4811-00-72")</f>
        <v>4811-00-72</v>
      </c>
      <c r="E526" t="str">
        <f>CLEAN("205  ")</f>
        <v xml:space="preserve">205  </v>
      </c>
      <c r="F526" t="str">
        <f>CLEAN("$500,000 - $749,999      ")</f>
        <v xml:space="preserve">$500,000 - $749,999      </v>
      </c>
      <c r="G526" t="str">
        <f>CLEAN("LET")</f>
        <v>LET</v>
      </c>
      <c r="H526" t="str">
        <f>CLEAN("LET CONSTRUCTION         ")</f>
        <v xml:space="preserve">LET CONSTRUCTION         </v>
      </c>
      <c r="I526" t="str">
        <f>CLEAN("CONST OPS/BRRPL/B200266            ")</f>
        <v xml:space="preserve">CONST OPS/BRRPL/B200266            </v>
      </c>
      <c r="J526" t="str">
        <f>CLEAN("LOC STR")</f>
        <v>LOC STR</v>
      </c>
      <c r="K526" t="str">
        <f>CLEAN("FOND DU LAC                   ")</f>
        <v xml:space="preserve">FOND DU LAC                   </v>
      </c>
      <c r="L526" t="str">
        <f>CLEAN("C FOND DU LAC, STOW STREET         ")</f>
        <v xml:space="preserve">C FOND DU LAC, STOW STREET         </v>
      </c>
      <c r="M526" t="str">
        <f>CLEAN("DE NEVEU CREEK BRIDGE              ")</f>
        <v xml:space="preserve">DE NEVEU CREEK BRIDGE              </v>
      </c>
      <c r="N526">
        <v>3.4000000000000002E-2</v>
      </c>
      <c r="O526" t="str">
        <f t="shared" si="186"/>
        <v xml:space="preserve">          </v>
      </c>
      <c r="P526" t="str">
        <f>CLEAN("LOCAL BRIDGES                                                                                       ")</f>
        <v xml:space="preserve">LOCAL BRIDGES                                                                                       </v>
      </c>
    </row>
    <row r="527" spans="1:16" x14ac:dyDescent="0.25">
      <c r="A527" t="str">
        <f t="shared" si="185"/>
        <v>10</v>
      </c>
      <c r="B527" t="str">
        <f t="shared" si="184"/>
        <v>23</v>
      </c>
      <c r="C527" s="1">
        <v>46000</v>
      </c>
      <c r="D527" t="str">
        <f>CLEAN("4812-00-01")</f>
        <v>4812-00-01</v>
      </c>
      <c r="E527" t="str">
        <f>CLEAN("205  ")</f>
        <v xml:space="preserve">205  </v>
      </c>
      <c r="F527" t="str">
        <f>CLEAN("$1,000,000 - $1,999,999  ")</f>
        <v xml:space="preserve">$1,000,000 - $1,999,999  </v>
      </c>
      <c r="G527" t="str">
        <f>CLEAN("LET")</f>
        <v>LET</v>
      </c>
      <c r="H527" t="str">
        <f>CLEAN("LET CONSTRUCTION         ")</f>
        <v xml:space="preserve">LET CONSTRUCTION         </v>
      </c>
      <c r="I527" t="str">
        <f>CLEAN("CONST OPS/BRRPL B-20-0265          ")</f>
        <v xml:space="preserve">CONST OPS/BRRPL B-20-0265          </v>
      </c>
      <c r="J527" t="str">
        <f>CLEAN("CTH K  ")</f>
        <v xml:space="preserve">CTH K  </v>
      </c>
      <c r="K527" t="str">
        <f>CLEAN("FOND DU LAC                   ")</f>
        <v xml:space="preserve">FOND DU LAC                   </v>
      </c>
      <c r="L527" t="str">
        <f>CLEAN("FOND DU LAC CO, CTH K              ")</f>
        <v xml:space="preserve">FOND DU LAC CO, CTH K              </v>
      </c>
      <c r="M527" t="str">
        <f>CLEAN("TAYCHEEDAH CREEK BRIDGE            ")</f>
        <v xml:space="preserve">TAYCHEEDAH CREEK BRIDGE            </v>
      </c>
      <c r="N527">
        <v>0.11</v>
      </c>
      <c r="O527" t="str">
        <f t="shared" si="186"/>
        <v xml:space="preserve">          </v>
      </c>
      <c r="P527" t="str">
        <f>CLEAN("LOCAL BRIDGES                                                                                       ")</f>
        <v xml:space="preserve">LOCAL BRIDGES                                                                                       </v>
      </c>
    </row>
    <row r="528" spans="1:16" x14ac:dyDescent="0.25">
      <c r="A528" t="str">
        <f t="shared" si="185"/>
        <v>10</v>
      </c>
      <c r="B528" t="str">
        <f t="shared" si="184"/>
        <v>23</v>
      </c>
      <c r="C528" s="1">
        <v>46000</v>
      </c>
      <c r="D528" t="str">
        <f>CLEAN("4816-00-73")</f>
        <v>4816-00-73</v>
      </c>
      <c r="E528" t="str">
        <f>CLEAN("205  ")</f>
        <v xml:space="preserve">205  </v>
      </c>
      <c r="F528" t="str">
        <f>CLEAN("$500,000 - $749,999      ")</f>
        <v xml:space="preserve">$500,000 - $749,999      </v>
      </c>
      <c r="G528" t="str">
        <f>CLEAN("LET")</f>
        <v>LET</v>
      </c>
      <c r="H528" t="str">
        <f>CLEAN("LET CONSTRUCTION         ")</f>
        <v xml:space="preserve">LET CONSTRUCTION         </v>
      </c>
      <c r="I528" t="str">
        <f>CLEAN("CONST OPS/BRRPL                    ")</f>
        <v xml:space="preserve">CONST OPS/BRRPL                    </v>
      </c>
      <c r="J528" t="str">
        <f>CLEAN("LOC STR")</f>
        <v>LOC STR</v>
      </c>
      <c r="K528" t="str">
        <f>CLEAN("FOND DU LAC                   ")</f>
        <v xml:space="preserve">FOND DU LAC                   </v>
      </c>
      <c r="L528" t="str">
        <f>CLEAN("T FOREST, WALNUT ROAD              ")</f>
        <v xml:space="preserve">T FOREST, WALNUT ROAD              </v>
      </c>
      <c r="M528" t="str">
        <f>CLEAN("SHEBOYGAN RIVER BRIDGE             ")</f>
        <v xml:space="preserve">SHEBOYGAN RIVER BRIDGE             </v>
      </c>
      <c r="N528">
        <v>0.04</v>
      </c>
      <c r="O528" t="str">
        <f t="shared" si="186"/>
        <v xml:space="preserve">          </v>
      </c>
      <c r="P528" t="str">
        <f>CLEAN("LOCAL BRIDGES                                                                                       ")</f>
        <v xml:space="preserve">LOCAL BRIDGES                                                                                       </v>
      </c>
    </row>
    <row r="529" spans="1:16" x14ac:dyDescent="0.25">
      <c r="A529" t="str">
        <f t="shared" si="185"/>
        <v>10</v>
      </c>
      <c r="B529" t="str">
        <f>CLEAN("22")</f>
        <v>22</v>
      </c>
      <c r="C529" s="1">
        <v>46106</v>
      </c>
      <c r="D529" t="str">
        <f>CLEAN("4821-04-20")</f>
        <v>4821-04-20</v>
      </c>
      <c r="E529" t="str">
        <f>CLEAN("303  ")</f>
        <v xml:space="preserve">303  </v>
      </c>
      <c r="F529" t="str">
        <f>CLEAN("$100,000-$249,999        ")</f>
        <v xml:space="preserve">$100,000-$249,999        </v>
      </c>
      <c r="G529" t="str">
        <f>CLEAN("R/E")</f>
        <v>R/E</v>
      </c>
      <c r="H529" t="str">
        <f>CLEAN("NONLET CONSTR/REAL ESTATE")</f>
        <v>NONLET CONSTR/REAL ESTATE</v>
      </c>
      <c r="I529" t="str">
        <f>CLEAN("PER WISDOT ADA TRANS PLAN RAMPS    ")</f>
        <v xml:space="preserve">PER WISDOT ADA TRANS PLAN RAMPS    </v>
      </c>
      <c r="J529" t="str">
        <f>CLEAN("VAR HWY")</f>
        <v>VAR HWY</v>
      </c>
      <c r="K529" t="str">
        <f>CLEAN("OZAUKEE                       ")</f>
        <v xml:space="preserve">OZAUKEE                       </v>
      </c>
      <c r="L529" t="str">
        <f>CLEAN("SOUTHEAST REGION, ADA CURB RAMPS   ")</f>
        <v xml:space="preserve">SOUTHEAST REGION, ADA CURB RAMPS   </v>
      </c>
      <c r="M529" t="str">
        <f>CLEAN("PORT WASH/SAUK AREA VAR LOC PER PLN")</f>
        <v>PORT WASH/SAUK AREA VAR LOC PER PLN</v>
      </c>
      <c r="N529">
        <v>6.4710000000000001</v>
      </c>
      <c r="O529" t="str">
        <f t="shared" si="186"/>
        <v xml:space="preserve">          </v>
      </c>
      <c r="P529" t="str">
        <f>CLEAN("CURB RAMP STANDALONE                                                                                ")</f>
        <v xml:space="preserve">CURB RAMP STANDALONE                                                                                </v>
      </c>
    </row>
    <row r="530" spans="1:16" x14ac:dyDescent="0.25">
      <c r="A530" t="str">
        <f t="shared" si="185"/>
        <v>10</v>
      </c>
      <c r="B530" t="str">
        <f>CLEAN("22")</f>
        <v>22</v>
      </c>
      <c r="C530" s="1">
        <v>46063</v>
      </c>
      <c r="D530" t="str">
        <f>CLEAN("4823-07-70")</f>
        <v>4823-07-70</v>
      </c>
      <c r="E530" t="str">
        <f>CLEAN("205  ")</f>
        <v xml:space="preserve">205  </v>
      </c>
      <c r="F530" t="str">
        <f>CLEAN("$250,000 - $499,999      ")</f>
        <v xml:space="preserve">$250,000 - $499,999      </v>
      </c>
      <c r="G530" t="str">
        <f t="shared" ref="G530:G536" si="187">CLEAN("LET")</f>
        <v>LET</v>
      </c>
      <c r="H530" t="str">
        <f t="shared" ref="H530:H536" si="188">CLEAN("LET CONSTRUCTION         ")</f>
        <v xml:space="preserve">LET CONSTRUCTION         </v>
      </c>
      <c r="I530" t="str">
        <f>CLEAN("CONST/BRIDE REPLACEMENT            ")</f>
        <v xml:space="preserve">CONST/BRIDE REPLACEMENT            </v>
      </c>
      <c r="J530" t="str">
        <f t="shared" ref="J530:J536" si="189">CLEAN("LOC STR")</f>
        <v>LOC STR</v>
      </c>
      <c r="K530" t="str">
        <f>CLEAN("WASHINGTON                    ")</f>
        <v xml:space="preserve">WASHINGTON                    </v>
      </c>
      <c r="L530" t="str">
        <f>CLEAN("T WAYNE, BEECHNUT DRIVE            ")</f>
        <v xml:space="preserve">T WAYNE, BEECHNUT DRIVE            </v>
      </c>
      <c r="M530" t="str">
        <f>CLEAN("BRIDGE OVER KOHLSVILLE RIVER P6647 ")</f>
        <v xml:space="preserve">BRIDGE OVER KOHLSVILLE RIVER P6647 </v>
      </c>
      <c r="N530">
        <v>0</v>
      </c>
      <c r="O530" t="str">
        <f>CLEAN("4823-07-71")</f>
        <v>4823-07-71</v>
      </c>
      <c r="P530" t="str">
        <f>CLEAN("LOCAL BRIDGES                                                                                       ")</f>
        <v xml:space="preserve">LOCAL BRIDGES                                                                                       </v>
      </c>
    </row>
    <row r="531" spans="1:16" x14ac:dyDescent="0.25">
      <c r="A531" t="str">
        <f t="shared" si="185"/>
        <v>10</v>
      </c>
      <c r="B531" t="str">
        <f>CLEAN("22")</f>
        <v>22</v>
      </c>
      <c r="C531" s="1">
        <v>46063</v>
      </c>
      <c r="D531" t="str">
        <f>CLEAN("4823-07-71")</f>
        <v>4823-07-71</v>
      </c>
      <c r="E531" t="str">
        <f>CLEAN("205  ")</f>
        <v xml:space="preserve">205  </v>
      </c>
      <c r="F531" t="str">
        <f>CLEAN("$250,000 - $499,999      ")</f>
        <v xml:space="preserve">$250,000 - $499,999      </v>
      </c>
      <c r="G531" t="str">
        <f t="shared" si="187"/>
        <v>LET</v>
      </c>
      <c r="H531" t="str">
        <f t="shared" si="188"/>
        <v xml:space="preserve">LET CONSTRUCTION         </v>
      </c>
      <c r="I531" t="str">
        <f>CLEAN("CONST/BRIDGE REPLACEMENT           ")</f>
        <v xml:space="preserve">CONST/BRIDGE REPLACEMENT           </v>
      </c>
      <c r="J531" t="str">
        <f t="shared" si="189"/>
        <v>LOC STR</v>
      </c>
      <c r="K531" t="str">
        <f>CLEAN("WASHINGTON                    ")</f>
        <v xml:space="preserve">WASHINGTON                    </v>
      </c>
      <c r="L531" t="str">
        <f>CLEAN("T WAYNE, W BEND ROAD               ")</f>
        <v xml:space="preserve">T WAYNE, W BEND ROAD               </v>
      </c>
      <c r="M531" t="str">
        <f>CLEAN("OVR BR OF E BR ROCK RIVER P66-0052 ")</f>
        <v xml:space="preserve">OVR BR OF E BR ROCK RIVER P66-0052 </v>
      </c>
      <c r="N531">
        <v>0</v>
      </c>
      <c r="O531" t="str">
        <f>CLEAN("4823-07-70")</f>
        <v>4823-07-70</v>
      </c>
      <c r="P531" t="str">
        <f>CLEAN("LOCAL BRIDGES                                                                                       ")</f>
        <v xml:space="preserve">LOCAL BRIDGES                                                                                       </v>
      </c>
    </row>
    <row r="532" spans="1:16" x14ac:dyDescent="0.25">
      <c r="A532" t="str">
        <f t="shared" si="185"/>
        <v>10</v>
      </c>
      <c r="B532" t="str">
        <f>CLEAN("22")</f>
        <v>22</v>
      </c>
      <c r="C532" s="1">
        <v>46091</v>
      </c>
      <c r="D532" t="str">
        <f>CLEAN("4824-03-72")</f>
        <v>4824-03-72</v>
      </c>
      <c r="E532" t="str">
        <f>CLEAN("205  ")</f>
        <v xml:space="preserve">205  </v>
      </c>
      <c r="F532" t="str">
        <f>CLEAN("$500,000 - $749,999      ")</f>
        <v xml:space="preserve">$500,000 - $749,999      </v>
      </c>
      <c r="G532" t="str">
        <f t="shared" si="187"/>
        <v>LET</v>
      </c>
      <c r="H532" t="str">
        <f t="shared" si="188"/>
        <v xml:space="preserve">LET CONSTRUCTION         </v>
      </c>
      <c r="I532" t="str">
        <f>CLEAN("CONST/BRRPL                        ")</f>
        <v xml:space="preserve">CONST/BRRPL                        </v>
      </c>
      <c r="J532" t="str">
        <f t="shared" si="189"/>
        <v>LOC STR</v>
      </c>
      <c r="K532" t="str">
        <f>CLEAN("WASHINGTON                    ")</f>
        <v xml:space="preserve">WASHINGTON                    </v>
      </c>
      <c r="L532" t="str">
        <f>CLEAN("T KEWASKUM, TOWNLINE RD            ")</f>
        <v xml:space="preserve">T KEWASKUM, TOWNLINE RD            </v>
      </c>
      <c r="M532" t="str">
        <f>CLEAN("TRIBUTARY MILWAUKEE RIVER P66-0911 ")</f>
        <v xml:space="preserve">TRIBUTARY MILWAUKEE RIVER P66-0911 </v>
      </c>
      <c r="N532">
        <v>0</v>
      </c>
      <c r="O532" t="str">
        <f t="shared" ref="O532:O560" si="190">CLEAN("          ")</f>
        <v xml:space="preserve">          </v>
      </c>
      <c r="P532" t="str">
        <f>CLEAN("LOCAL BRIDGES                                                                                       ")</f>
        <v xml:space="preserve">LOCAL BRIDGES                                                                                       </v>
      </c>
    </row>
    <row r="533" spans="1:16" x14ac:dyDescent="0.25">
      <c r="A533" t="str">
        <f t="shared" si="185"/>
        <v>10</v>
      </c>
      <c r="B533" t="str">
        <f>CLEAN("22")</f>
        <v>22</v>
      </c>
      <c r="C533" s="1">
        <v>46126</v>
      </c>
      <c r="D533" t="str">
        <f>CLEAN("4826-01-71")</f>
        <v>4826-01-71</v>
      </c>
      <c r="E533" t="str">
        <f>CLEAN("205  ")</f>
        <v xml:space="preserve">205  </v>
      </c>
      <c r="F533" t="str">
        <f>CLEAN("$250,000 - $499,999      ")</f>
        <v xml:space="preserve">$250,000 - $499,999      </v>
      </c>
      <c r="G533" t="str">
        <f t="shared" si="187"/>
        <v>LET</v>
      </c>
      <c r="H533" t="str">
        <f t="shared" si="188"/>
        <v xml:space="preserve">LET CONSTRUCTION         </v>
      </c>
      <c r="I533" t="str">
        <f>CLEAN("CONST/BRRPL                        ")</f>
        <v xml:space="preserve">CONST/BRRPL                        </v>
      </c>
      <c r="J533" t="str">
        <f t="shared" si="189"/>
        <v>LOC STR</v>
      </c>
      <c r="K533" t="str">
        <f>CLEAN("WASHINGTON                    ")</f>
        <v xml:space="preserve">WASHINGTON                    </v>
      </c>
      <c r="L533" t="str">
        <f>CLEAN("T FARMINGTON, JAY RD               ")</f>
        <v xml:space="preserve">T FARMINGTON, JAY RD               </v>
      </c>
      <c r="M533" t="str">
        <f>CLEAN("N BR MILWAUKEE RIVER BRIDGE, P66-38")</f>
        <v>N BR MILWAUKEE RIVER BRIDGE, P66-38</v>
      </c>
      <c r="N533">
        <v>0</v>
      </c>
      <c r="O533" t="str">
        <f t="shared" si="190"/>
        <v xml:space="preserve">          </v>
      </c>
      <c r="P533" t="str">
        <f>CLEAN("LOCAL BRIDGES                                                                                       ")</f>
        <v xml:space="preserve">LOCAL BRIDGES                                                                                       </v>
      </c>
    </row>
    <row r="534" spans="1:16" x14ac:dyDescent="0.25">
      <c r="A534" t="str">
        <f t="shared" si="185"/>
        <v>10</v>
      </c>
      <c r="B534" t="str">
        <f>CLEAN("23")</f>
        <v>23</v>
      </c>
      <c r="C534" s="1">
        <v>45972</v>
      </c>
      <c r="D534" t="str">
        <f>CLEAN("4984-01-79")</f>
        <v>4984-01-79</v>
      </c>
      <c r="E534" t="str">
        <f>CLEAN("205  ")</f>
        <v xml:space="preserve">205  </v>
      </c>
      <c r="F534" t="str">
        <f>CLEAN("$3,000,000 - $3,999,999  ")</f>
        <v xml:space="preserve">$3,000,000 - $3,999,999  </v>
      </c>
      <c r="G534" t="str">
        <f t="shared" si="187"/>
        <v>LET</v>
      </c>
      <c r="H534" t="str">
        <f t="shared" si="188"/>
        <v xml:space="preserve">LET CONSTRUCTION         </v>
      </c>
      <c r="I534" t="str">
        <f>CLEAN("CONST OPS/BRRPL B440502            ")</f>
        <v xml:space="preserve">CONST OPS/BRRPL B440502            </v>
      </c>
      <c r="J534" t="str">
        <f t="shared" si="189"/>
        <v>LOC STR</v>
      </c>
      <c r="K534" t="str">
        <f>CLEAN("OUTAGAMIE                     ")</f>
        <v xml:space="preserve">OUTAGAMIE                     </v>
      </c>
      <c r="L534" t="str">
        <f>CLEAN("C APPLETON, OLDE ONEIDA STREET     ")</f>
        <v xml:space="preserve">C APPLETON, OLDE ONEIDA STREET     </v>
      </c>
      <c r="M534" t="str">
        <f>CLEAN("SOUTH MILL RACE BRIDGE             ")</f>
        <v xml:space="preserve">SOUTH MILL RACE BRIDGE             </v>
      </c>
      <c r="N534">
        <v>5.2999999999999999E-2</v>
      </c>
      <c r="O534" t="str">
        <f t="shared" si="190"/>
        <v xml:space="preserve">          </v>
      </c>
      <c r="P534" t="str">
        <f>CLEAN("LOCAL BRIDGES                                                                                       ")</f>
        <v xml:space="preserve">LOCAL BRIDGES                                                                                       </v>
      </c>
    </row>
    <row r="535" spans="1:16" x14ac:dyDescent="0.25">
      <c r="A535" t="str">
        <f t="shared" si="185"/>
        <v>10</v>
      </c>
      <c r="B535" t="str">
        <f>CLEAN("23")</f>
        <v>23</v>
      </c>
      <c r="C535" s="1">
        <v>46063</v>
      </c>
      <c r="D535" t="str">
        <f>CLEAN("4984-24-75")</f>
        <v>4984-24-75</v>
      </c>
      <c r="E535" t="str">
        <f>CLEAN("206  ")</f>
        <v xml:space="preserve">206  </v>
      </c>
      <c r="F535" t="str">
        <f>CLEAN("$3,000,000 - $3,999,999  ")</f>
        <v xml:space="preserve">$3,000,000 - $3,999,999  </v>
      </c>
      <c r="G535" t="str">
        <f t="shared" si="187"/>
        <v>LET</v>
      </c>
      <c r="H535" t="str">
        <f t="shared" si="188"/>
        <v xml:space="preserve">LET CONSTRUCTION         </v>
      </c>
      <c r="I535" t="str">
        <f>CLEAN("CONST OPS/RECST                    ")</f>
        <v xml:space="preserve">CONST OPS/RECST                    </v>
      </c>
      <c r="J535" t="str">
        <f t="shared" si="189"/>
        <v>LOC STR</v>
      </c>
      <c r="K535" t="str">
        <f>CLEAN("OUTAGAMIE                     ")</f>
        <v xml:space="preserve">OUTAGAMIE                     </v>
      </c>
      <c r="L535" t="str">
        <f>CLEAN("C APPLETON, LAWE STREET            ")</f>
        <v xml:space="preserve">C APPLETON, LAWE STREET            </v>
      </c>
      <c r="M535" t="str">
        <f>CLEAN("COLLEGE AVENUE TO WISCONSIN AVENUE ")</f>
        <v xml:space="preserve">COLLEGE AVENUE TO WISCONSIN AVENUE </v>
      </c>
      <c r="N535">
        <v>0.74</v>
      </c>
      <c r="O535" t="str">
        <f t="shared" si="190"/>
        <v xml:space="preserve">          </v>
      </c>
      <c r="P535" t="str">
        <f>CLEAN("STP URBAN OVER 200,000                                                                              ")</f>
        <v xml:space="preserve">STP URBAN OVER 200,000                                                                              </v>
      </c>
    </row>
    <row r="536" spans="1:16" x14ac:dyDescent="0.25">
      <c r="A536" t="str">
        <f t="shared" si="185"/>
        <v>10</v>
      </c>
      <c r="B536" t="str">
        <f>CLEAN("23")</f>
        <v>23</v>
      </c>
      <c r="C536" s="1">
        <v>46000</v>
      </c>
      <c r="D536" t="str">
        <f>CLEAN("4986-00-65")</f>
        <v>4986-00-65</v>
      </c>
      <c r="E536" t="str">
        <f>CLEAN("206  ")</f>
        <v xml:space="preserve">206  </v>
      </c>
      <c r="F536" t="str">
        <f>CLEAN("$1,000,000 - $1,999,999  ")</f>
        <v xml:space="preserve">$1,000,000 - $1,999,999  </v>
      </c>
      <c r="G536" t="str">
        <f t="shared" si="187"/>
        <v>LET</v>
      </c>
      <c r="H536" t="str">
        <f t="shared" si="188"/>
        <v xml:space="preserve">LET CONSTRUCTION         </v>
      </c>
      <c r="I536" t="str">
        <f>CLEAN("CONST OPS/RECST                    ")</f>
        <v xml:space="preserve">CONST OPS/RECST                    </v>
      </c>
      <c r="J536" t="str">
        <f t="shared" si="189"/>
        <v>LOC STR</v>
      </c>
      <c r="K536" t="str">
        <f>CLEAN("FOND DU LAC                   ")</f>
        <v xml:space="preserve">FOND DU LAC                   </v>
      </c>
      <c r="L536" t="str">
        <f>CLEAN("V NORTH FOND DU LAC, MINNESOTA AVE ")</f>
        <v xml:space="preserve">V NORTH FOND DU LAC, MINNESOTA AVE </v>
      </c>
      <c r="M536" t="str">
        <f>CLEAN("CHAPLEAU STREET TO ANNE STREET     ")</f>
        <v xml:space="preserve">CHAPLEAU STREET TO ANNE STREET     </v>
      </c>
      <c r="N536">
        <v>0.252</v>
      </c>
      <c r="O536" t="str">
        <f t="shared" si="190"/>
        <v xml:space="preserve">          </v>
      </c>
      <c r="P536" t="str">
        <f>CLEAN("STP URBAN 50,000 - 200,000                                                                          ")</f>
        <v xml:space="preserve">STP URBAN 50,000 - 200,000                                                                          </v>
      </c>
    </row>
    <row r="537" spans="1:16" x14ac:dyDescent="0.25">
      <c r="A537" t="str">
        <f t="shared" si="185"/>
        <v>10</v>
      </c>
      <c r="B537" t="str">
        <f>CLEAN("23")</f>
        <v>23</v>
      </c>
      <c r="C537" s="1">
        <v>45925</v>
      </c>
      <c r="D537" t="str">
        <f>CLEAN("4987-01-11")</f>
        <v>4987-01-11</v>
      </c>
      <c r="E537" t="str">
        <f>CLEAN("206  ")</f>
        <v xml:space="preserve">206  </v>
      </c>
      <c r="F537" t="str">
        <f>CLEAN("$1,000,000 - $1,999,999  ")</f>
        <v xml:space="preserve">$1,000,000 - $1,999,999  </v>
      </c>
      <c r="G537" t="str">
        <f>CLEAN("MIS")</f>
        <v>MIS</v>
      </c>
      <c r="H537" t="str">
        <f>CLEAN("NONLET CONSTR/REAL ESTATE")</f>
        <v>NONLET CONSTR/REAL ESTATE</v>
      </c>
      <c r="I537" t="str">
        <f>CLEAN("CONST OPS/MISC/CRP                 ")</f>
        <v xml:space="preserve">CONST OPS/MISC/CRP                 </v>
      </c>
      <c r="J537" t="str">
        <f>CLEAN("NON HWY")</f>
        <v>NON HWY</v>
      </c>
      <c r="K537" t="str">
        <f>CLEAN("BROWN                         ")</f>
        <v xml:space="preserve">BROWN                         </v>
      </c>
      <c r="L537" t="str">
        <f>CLEAN("BROWN COUNTY, SIGNAL UPGRADES      ")</f>
        <v xml:space="preserve">BROWN COUNTY, SIGNAL UPGRADES      </v>
      </c>
      <c r="M537" t="str">
        <f>CLEAN("VARIOUS URBAN INTERSECTIONS        ")</f>
        <v xml:space="preserve">VARIOUS URBAN INTERSECTIONS        </v>
      </c>
      <c r="N537">
        <v>0</v>
      </c>
      <c r="O537" t="str">
        <f t="shared" si="190"/>
        <v xml:space="preserve">          </v>
      </c>
      <c r="P537" t="str">
        <f>CLEAN("CARBON REDUCTION OVER 200,000                                                                       ")</f>
        <v xml:space="preserve">CARBON REDUCTION OVER 200,000                                                                       </v>
      </c>
    </row>
    <row r="538" spans="1:16" x14ac:dyDescent="0.25">
      <c r="A538" t="str">
        <f>CLEAN("08")</f>
        <v>08</v>
      </c>
      <c r="B538" t="str">
        <f>CLEAN("08")</f>
        <v>08</v>
      </c>
      <c r="C538" s="1">
        <v>46198</v>
      </c>
      <c r="D538" t="str">
        <f>CLEAN("4987-01-51")</f>
        <v>4987-01-51</v>
      </c>
      <c r="E538" t="str">
        <f>CLEAN("207  ")</f>
        <v xml:space="preserve">207  </v>
      </c>
      <c r="F538" t="str">
        <f>CLEAN("$250,000 - $499,999      ")</f>
        <v xml:space="preserve">$250,000 - $499,999      </v>
      </c>
      <c r="G538" t="str">
        <f>CLEAN("R/R")</f>
        <v>R/R</v>
      </c>
      <c r="H538" t="str">
        <f>CLEAN("NONLET CONSTR/REAL ESTATE")</f>
        <v>NONLET CONSTR/REAL ESTATE</v>
      </c>
      <c r="I538" t="str">
        <f>CLEAN("RR OPS/SAFETY/OCS                  ")</f>
        <v xml:space="preserve">RR OPS/SAFETY/OCS                  </v>
      </c>
      <c r="J538" t="str">
        <f>CLEAN("LOC STR")</f>
        <v>LOC STR</v>
      </c>
      <c r="K538" t="str">
        <f>CLEAN("BROWN                         ")</f>
        <v xml:space="preserve">BROWN                         </v>
      </c>
      <c r="L538" t="str">
        <f>CLEAN("C. GREEN BAY, HINKLE ST. CN RR XING")</f>
        <v>C. GREEN BAY, HINKLE ST. CN RR XING</v>
      </c>
      <c r="M538" t="str">
        <f>CLEAN("281845S, MP 3.66, SIGNALS &amp; GATES  ")</f>
        <v xml:space="preserve">281845S, MP 3.66, SIGNALS &amp; GATES  </v>
      </c>
      <c r="N538">
        <v>7.9000000000000001E-2</v>
      </c>
      <c r="O538" t="str">
        <f t="shared" si="190"/>
        <v xml:space="preserve">          </v>
      </c>
      <c r="P538" t="str">
        <f>CLEAN("SAFETY - RAILROAD WARNING DEVICES                                                                   ")</f>
        <v xml:space="preserve">SAFETY - RAILROAD WARNING DEVICES                                                                   </v>
      </c>
    </row>
    <row r="539" spans="1:16" x14ac:dyDescent="0.25">
      <c r="A539" t="str">
        <f t="shared" ref="A539:A602" si="191">CLEAN("10")</f>
        <v>10</v>
      </c>
      <c r="B539" t="str">
        <f>CLEAN("23")</f>
        <v>23</v>
      </c>
      <c r="C539" s="1">
        <v>45925</v>
      </c>
      <c r="D539" t="str">
        <f>CLEAN("4987-14-71")</f>
        <v>4987-14-71</v>
      </c>
      <c r="E539" t="str">
        <f>CLEAN("290  ")</f>
        <v xml:space="preserve">290  </v>
      </c>
      <c r="F539" t="str">
        <f>CLEAN("$1,000,000 - $1,999,999  ")</f>
        <v xml:space="preserve">$1,000,000 - $1,999,999  </v>
      </c>
      <c r="G539" t="str">
        <f>CLEAN("LLC")</f>
        <v>LLC</v>
      </c>
      <c r="H539" t="str">
        <f>CLEAN("NONLET CONSTR/REAL ESTATE")</f>
        <v>NONLET CONSTR/REAL ESTATE</v>
      </c>
      <c r="I539" t="str">
        <f>CLEAN("CONST OPS/MISC GREEN BAY SAFE WALKS")</f>
        <v>CONST OPS/MISC GREEN BAY SAFE WALKS</v>
      </c>
      <c r="J539" t="str">
        <f>CLEAN("NON HWY")</f>
        <v>NON HWY</v>
      </c>
      <c r="K539" t="str">
        <f>CLEAN("BROWN                         ")</f>
        <v xml:space="preserve">BROWN                         </v>
      </c>
      <c r="L539" t="str">
        <f>CLEAN("C GREEN BAY, MANITOWOC RD SIDEWALK ")</f>
        <v xml:space="preserve">C GREEN BAY, MANITOWOC RD SIDEWALK </v>
      </c>
      <c r="M539" t="str">
        <f>CLEAN("STH 29 - HEMLOCK DR                ")</f>
        <v xml:space="preserve">STH 29 - HEMLOCK DR                </v>
      </c>
      <c r="N539">
        <v>0.64</v>
      </c>
      <c r="O539" t="str">
        <f t="shared" si="190"/>
        <v xml:space="preserve">          </v>
      </c>
      <c r="P539" t="str">
        <f>CLEAN("CARBON REDUCTION OVER 200,000                                                                       ")</f>
        <v xml:space="preserve">CARBON REDUCTION OVER 200,000                                                                       </v>
      </c>
    </row>
    <row r="540" spans="1:16" x14ac:dyDescent="0.25">
      <c r="A540" t="str">
        <f t="shared" si="191"/>
        <v>10</v>
      </c>
      <c r="B540" t="str">
        <f>CLEAN("23")</f>
        <v>23</v>
      </c>
      <c r="C540" s="1">
        <v>45925</v>
      </c>
      <c r="D540" t="str">
        <f>CLEAN("4987-14-71")</f>
        <v>4987-14-71</v>
      </c>
      <c r="E540" t="str">
        <f>CLEAN("290  ")</f>
        <v xml:space="preserve">290  </v>
      </c>
      <c r="F540" t="str">
        <f>CLEAN("$1,000,000 - $1,999,999  ")</f>
        <v xml:space="preserve">$1,000,000 - $1,999,999  </v>
      </c>
      <c r="G540" t="str">
        <f>CLEAN("LLC")</f>
        <v>LLC</v>
      </c>
      <c r="H540" t="str">
        <f>CLEAN("NONLET CONSTR/REAL ESTATE")</f>
        <v>NONLET CONSTR/REAL ESTATE</v>
      </c>
      <c r="I540" t="str">
        <f>CLEAN("CONST OPS/MISC GREEN BAY SAFE WALKS")</f>
        <v>CONST OPS/MISC GREEN BAY SAFE WALKS</v>
      </c>
      <c r="J540" t="str">
        <f>CLEAN("NON HWY")</f>
        <v>NON HWY</v>
      </c>
      <c r="K540" t="str">
        <f>CLEAN("BROWN                         ")</f>
        <v xml:space="preserve">BROWN                         </v>
      </c>
      <c r="L540" t="str">
        <f>CLEAN("C GREEN BAY, MANITOWOC RD SIDEWALK ")</f>
        <v xml:space="preserve">C GREEN BAY, MANITOWOC RD SIDEWALK </v>
      </c>
      <c r="M540" t="str">
        <f>CLEAN("STH 29 - HEMLOCK DR                ")</f>
        <v xml:space="preserve">STH 29 - HEMLOCK DR                </v>
      </c>
      <c r="N540">
        <v>0.64</v>
      </c>
      <c r="O540" t="str">
        <f t="shared" si="190"/>
        <v xml:space="preserve">          </v>
      </c>
      <c r="P540" t="str">
        <f>CLEAN("TAP &gt; 200,000                                                                                       ")</f>
        <v xml:space="preserve">TAP &gt; 200,000                                                                                       </v>
      </c>
    </row>
    <row r="541" spans="1:16" x14ac:dyDescent="0.25">
      <c r="A541" t="str">
        <f t="shared" si="191"/>
        <v>10</v>
      </c>
      <c r="B541" t="str">
        <f>CLEAN("23")</f>
        <v>23</v>
      </c>
      <c r="C541" s="1">
        <v>46000</v>
      </c>
      <c r="D541" t="str">
        <f>CLEAN("4991-06-77")</f>
        <v>4991-06-77</v>
      </c>
      <c r="E541" t="str">
        <f>CLEAN("206  ")</f>
        <v xml:space="preserve">206  </v>
      </c>
      <c r="F541" t="str">
        <f>CLEAN("$2,000,000 - $2,999,999  ")</f>
        <v xml:space="preserve">$2,000,000 - $2,999,999  </v>
      </c>
      <c r="G541" t="str">
        <f>CLEAN("LET")</f>
        <v>LET</v>
      </c>
      <c r="H541" t="str">
        <f>CLEAN("LET CONSTRUCTION         ")</f>
        <v xml:space="preserve">LET CONSTRUCTION         </v>
      </c>
      <c r="I541" t="str">
        <f>CLEAN("CONST OPS/RECST                    ")</f>
        <v xml:space="preserve">CONST OPS/RECST                    </v>
      </c>
      <c r="J541" t="str">
        <f>CLEAN("LOC STR")</f>
        <v>LOC STR</v>
      </c>
      <c r="K541" t="str">
        <f>CLEAN("MANITOWOC                     ")</f>
        <v xml:space="preserve">MANITOWOC                     </v>
      </c>
      <c r="L541" t="str">
        <f>CLEAN("C MANITOWOC, SOUTH 30TH STREET     ")</f>
        <v xml:space="preserve">C MANITOWOC, SOUTH 30TH STREET     </v>
      </c>
      <c r="M541" t="str">
        <f>CLEAN("DEWEY STREET TO VIEBAHN STREET     ")</f>
        <v xml:space="preserve">DEWEY STREET TO VIEBAHN STREET     </v>
      </c>
      <c r="N541">
        <v>0.47799999999999998</v>
      </c>
      <c r="O541" t="str">
        <f t="shared" si="190"/>
        <v xml:space="preserve">          </v>
      </c>
      <c r="P541" t="str">
        <f>CLEAN("STP URBAN 20,000 - 50,000                                                                           ")</f>
        <v xml:space="preserve">STP URBAN 20,000 - 50,000                                                                           </v>
      </c>
    </row>
    <row r="542" spans="1:16" x14ac:dyDescent="0.25">
      <c r="A542" t="str">
        <f t="shared" si="191"/>
        <v>10</v>
      </c>
      <c r="B542" t="str">
        <f>CLEAN("23")</f>
        <v>23</v>
      </c>
      <c r="C542" s="1">
        <v>46228</v>
      </c>
      <c r="D542" t="str">
        <f>CLEAN("4996-26-02")</f>
        <v>4996-26-02</v>
      </c>
      <c r="E542" t="str">
        <f>CLEAN("211  ")</f>
        <v xml:space="preserve">211  </v>
      </c>
      <c r="F542" t="str">
        <f>CLEAN("$2,000,000 - $2,999,999  ")</f>
        <v xml:space="preserve">$2,000,000 - $2,999,999  </v>
      </c>
      <c r="G542" t="str">
        <f>CLEAN("TST")</f>
        <v>TST</v>
      </c>
      <c r="H542" t="str">
        <f>CLEAN("NONLET CONSTR/REAL ESTATE")</f>
        <v>NONLET CONSTR/REAL ESTATE</v>
      </c>
      <c r="I542" t="str">
        <f>CLEAN("MISC/CMAQ/BUS PURCHASE             ")</f>
        <v xml:space="preserve">MISC/CMAQ/BUS PURCHASE             </v>
      </c>
      <c r="J542" t="str">
        <f>CLEAN("NON HWY")</f>
        <v>NON HWY</v>
      </c>
      <c r="K542" t="str">
        <f>CLEAN("SHEBOYGAN                     ")</f>
        <v xml:space="preserve">SHEBOYGAN                     </v>
      </c>
      <c r="L542" t="str">
        <f>CLEAN("SHORELINE METRO TRANSIT SYSTEM     ")</f>
        <v xml:space="preserve">SHORELINE METRO TRANSIT SYSTEM     </v>
      </c>
      <c r="M542" t="str">
        <f>CLEAN("REVENUE ROLLING STOCK FY27         ")</f>
        <v xml:space="preserve">REVENUE ROLLING STOCK FY27         </v>
      </c>
      <c r="N542">
        <v>0.13900000000000001</v>
      </c>
      <c r="O542" t="str">
        <f t="shared" si="190"/>
        <v xml:space="preserve">          </v>
      </c>
      <c r="P542" t="str">
        <f>CLEAN("CONGESTION MITIGATION AND AIR QUALITY (CMAQ)                                                        ")</f>
        <v xml:space="preserve">CONGESTION MITIGATION AND AIR QUALITY (CMAQ)                                                        </v>
      </c>
    </row>
    <row r="543" spans="1:16" x14ac:dyDescent="0.25">
      <c r="A543" t="str">
        <f t="shared" si="191"/>
        <v>10</v>
      </c>
      <c r="B543" t="str">
        <f>CLEAN("23")</f>
        <v>23</v>
      </c>
      <c r="C543" s="1">
        <v>46063</v>
      </c>
      <c r="D543" t="str">
        <f>CLEAN("4997-05-73")</f>
        <v>4997-05-73</v>
      </c>
      <c r="E543" t="str">
        <f>CLEAN("206  ")</f>
        <v xml:space="preserve">206  </v>
      </c>
      <c r="F543" t="str">
        <f>CLEAN("$2,000,000 - $2,999,999  ")</f>
        <v xml:space="preserve">$2,000,000 - $2,999,999  </v>
      </c>
      <c r="G543" t="str">
        <f>CLEAN("LET")</f>
        <v>LET</v>
      </c>
      <c r="H543" t="str">
        <f>CLEAN("LET CONSTRUCTION         ")</f>
        <v xml:space="preserve">LET CONSTRUCTION         </v>
      </c>
      <c r="I543" t="str">
        <f>CLEAN("CONST OPS/RECST                    ")</f>
        <v xml:space="preserve">CONST OPS/RECST                    </v>
      </c>
      <c r="J543" t="str">
        <f>CLEAN("CTH S  ")</f>
        <v xml:space="preserve">CTH S  </v>
      </c>
      <c r="K543" t="str">
        <f>CLEAN("DOOR                          ")</f>
        <v xml:space="preserve">DOOR                          </v>
      </c>
      <c r="L543" t="str">
        <f>CLEAN("C STURGEON BAY, SOUTH DULUTH AVENUE")</f>
        <v>C STURGEON BAY, SOUTH DULUTH AVENUE</v>
      </c>
      <c r="M543" t="str">
        <f>CLEAN("EMERALD DRIVE TO SPRUCE DRIVE      ")</f>
        <v xml:space="preserve">EMERALD DRIVE TO SPRUCE DRIVE      </v>
      </c>
      <c r="N543">
        <v>0.5</v>
      </c>
      <c r="O543" t="str">
        <f t="shared" si="190"/>
        <v xml:space="preserve">          </v>
      </c>
      <c r="P543" t="str">
        <f>CLEAN("STP URBAN 5,000 - 20,000                                                                            ")</f>
        <v xml:space="preserve">STP URBAN 5,000 - 20,000                                                                            </v>
      </c>
    </row>
    <row r="544" spans="1:16" x14ac:dyDescent="0.25">
      <c r="A544" t="str">
        <f t="shared" si="191"/>
        <v>10</v>
      </c>
      <c r="B544" t="str">
        <f t="shared" ref="B544:B607" si="192">CLEAN("21")</f>
        <v>21</v>
      </c>
      <c r="C544" s="1">
        <v>46035</v>
      </c>
      <c r="D544" t="str">
        <f>CLEAN("5016-00-71")</f>
        <v>5016-00-71</v>
      </c>
      <c r="E544" t="str">
        <f>CLEAN("206  ")</f>
        <v xml:space="preserve">206  </v>
      </c>
      <c r="F544" t="str">
        <f>CLEAN("$8,000,000 - $8,999,999  ")</f>
        <v xml:space="preserve">$8,000,000 - $8,999,999  </v>
      </c>
      <c r="G544" t="str">
        <f>CLEAN("LET")</f>
        <v>LET</v>
      </c>
      <c r="H544" t="str">
        <f>CLEAN("LET CONSTRUCTION         ")</f>
        <v xml:space="preserve">LET CONSTRUCTION         </v>
      </c>
      <c r="I544" t="str">
        <f>CLEAN("CONST OPS/RECONSTRUCTION           ")</f>
        <v xml:space="preserve">CONST OPS/RECONSTRUCTION           </v>
      </c>
      <c r="J544" t="str">
        <f>CLEAN("CTH PC ")</f>
        <v xml:space="preserve">CTH PC </v>
      </c>
      <c r="K544" t="str">
        <f>CLEAN("MONROE                        ")</f>
        <v xml:space="preserve">MONROE                        </v>
      </c>
      <c r="L544" t="str">
        <f>CLEAN("T CHRISTIANA - T PORTLAND (CTH PC) ")</f>
        <v xml:space="preserve">T CHRISTIANA - T PORTLAND (CTH PC) </v>
      </c>
      <c r="M544" t="str">
        <f>CLEAN("VERNON CO LINE TO STH 33           ")</f>
        <v xml:space="preserve">VERNON CO LINE TO STH 33           </v>
      </c>
      <c r="N544">
        <v>2.35</v>
      </c>
      <c r="O544" t="str">
        <f t="shared" si="190"/>
        <v xml:space="preserve">          </v>
      </c>
      <c r="P544" t="str">
        <f>CLEAN("STP RURAL                                                                                           ")</f>
        <v xml:space="preserve">STP RURAL                                                                                           </v>
      </c>
    </row>
    <row r="545" spans="1:16" x14ac:dyDescent="0.25">
      <c r="A545" t="str">
        <f t="shared" si="191"/>
        <v>10</v>
      </c>
      <c r="B545" t="str">
        <f t="shared" si="192"/>
        <v>21</v>
      </c>
      <c r="C545" s="1">
        <v>46035</v>
      </c>
      <c r="D545" t="str">
        <f>CLEAN("5025-00-72")</f>
        <v>5025-00-72</v>
      </c>
      <c r="E545" t="str">
        <f>CLEAN("205  ")</f>
        <v xml:space="preserve">205  </v>
      </c>
      <c r="F545" t="str">
        <f>CLEAN("$250,000 - $499,999      ")</f>
        <v xml:space="preserve">$250,000 - $499,999      </v>
      </c>
      <c r="G545" t="str">
        <f>CLEAN("LET")</f>
        <v>LET</v>
      </c>
      <c r="H545" t="str">
        <f>CLEAN("LET CONSTRUCTION         ")</f>
        <v xml:space="preserve">LET CONSTRUCTION         </v>
      </c>
      <c r="I545" t="str">
        <f>CLEAN("CONST/BRIDGE REPLACEMENT           ")</f>
        <v xml:space="preserve">CONST/BRIDGE REPLACEMENT           </v>
      </c>
      <c r="J545" t="str">
        <f>CLEAN("LOC STR")</f>
        <v>LOC STR</v>
      </c>
      <c r="K545" t="str">
        <f>CLEAN("MONROE                        ")</f>
        <v xml:space="preserve">MONROE                        </v>
      </c>
      <c r="L545" t="str">
        <f>CLEAN("T TOMAH, INTERIOR ROAD             ")</f>
        <v xml:space="preserve">T TOMAH, INTERIOR ROAD             </v>
      </c>
      <c r="M545" t="str">
        <f>CLEAN("LEMONWEIR CREEK BRIDGE, B-41-0339  ")</f>
        <v xml:space="preserve">LEMONWEIR CREEK BRIDGE, B-41-0339  </v>
      </c>
      <c r="N545">
        <v>2.7E-2</v>
      </c>
      <c r="O545" t="str">
        <f t="shared" si="190"/>
        <v xml:space="preserve">          </v>
      </c>
      <c r="P545" t="str">
        <f>CLEAN("LOCAL BRIDGES                                                                                       ")</f>
        <v xml:space="preserve">LOCAL BRIDGES                                                                                       </v>
      </c>
    </row>
    <row r="546" spans="1:16" x14ac:dyDescent="0.25">
      <c r="A546" t="str">
        <f t="shared" si="191"/>
        <v>10</v>
      </c>
      <c r="B546" t="str">
        <f t="shared" si="192"/>
        <v>21</v>
      </c>
      <c r="C546" s="1">
        <v>46047</v>
      </c>
      <c r="D546" t="str">
        <f>CLEAN("5030-01-67")</f>
        <v>5030-01-67</v>
      </c>
      <c r="E546" t="str">
        <f>CLEAN("303  ")</f>
        <v xml:space="preserve">303  </v>
      </c>
      <c r="F546" t="str">
        <f>CLEAN("$100,000-$249,999        ")</f>
        <v xml:space="preserve">$100,000-$249,999        </v>
      </c>
      <c r="G546" t="str">
        <f>CLEAN("LFA")</f>
        <v>LFA</v>
      </c>
      <c r="H546" t="str">
        <f>CLEAN("NONLET CONSTR/REAL ESTATE")</f>
        <v>NONLET CONSTR/REAL ESTATE</v>
      </c>
      <c r="I546" t="str">
        <f>CLEAN("LFA/ DITCHING AND REPLACE PIPE     ")</f>
        <v xml:space="preserve">LFA/ DITCHING AND REPLACE PIPE     </v>
      </c>
      <c r="J546" t="str">
        <f>CLEAN("STH 033")</f>
        <v>STH 033</v>
      </c>
      <c r="K546" t="str">
        <f>CLEAN("SAUK                          ")</f>
        <v xml:space="preserve">SAUK                          </v>
      </c>
      <c r="L546" t="str">
        <f>CLEAN("HILLSBORO - REEDSBURG              ")</f>
        <v xml:space="preserve">HILLSBORO - REEDSBURG              </v>
      </c>
      <c r="M546" t="str">
        <f>CLEAN("TWIN PIKE RD TO OLD IRONTON RD     ")</f>
        <v xml:space="preserve">TWIN PIKE RD TO OLD IRONTON RD     </v>
      </c>
      <c r="N546">
        <v>1.113</v>
      </c>
      <c r="O546" t="str">
        <f t="shared" si="190"/>
        <v xml:space="preserve">          </v>
      </c>
      <c r="P546" t="str">
        <f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547" spans="1:16" x14ac:dyDescent="0.25">
      <c r="A547" t="str">
        <f t="shared" si="191"/>
        <v>10</v>
      </c>
      <c r="B547" t="str">
        <f t="shared" si="192"/>
        <v>21</v>
      </c>
      <c r="C547" s="1">
        <v>45894</v>
      </c>
      <c r="D547" t="str">
        <f>CLEAN("5040-03-21")</f>
        <v>5040-03-21</v>
      </c>
      <c r="E547" t="str">
        <f>CLEAN("303  ")</f>
        <v xml:space="preserve">303  </v>
      </c>
      <c r="F547" t="str">
        <f>CLEAN("$0 - $99,999             ")</f>
        <v xml:space="preserve">$0 - $99,999             </v>
      </c>
      <c r="G547" t="str">
        <f>CLEAN("R/E")</f>
        <v>R/E</v>
      </c>
      <c r="H547" t="str">
        <f>CLEAN("NONLET CONSTR/REAL ESTATE")</f>
        <v>NONLET CONSTR/REAL ESTATE</v>
      </c>
      <c r="I547" t="str">
        <f>CLEAN("RE OPS/ 5040-03-71/ PVRPLA         ")</f>
        <v xml:space="preserve">RE OPS/ 5040-03-71/ PVRPLA         </v>
      </c>
      <c r="J547" t="str">
        <f>CLEAN("STH 080")</f>
        <v>STH 080</v>
      </c>
      <c r="K547" t="str">
        <f>CLEAN("VERNON                        ")</f>
        <v xml:space="preserve">VERNON                        </v>
      </c>
      <c r="L547" t="str">
        <f>CLEAN("HILLSBORO - NEW LISBON             ")</f>
        <v xml:space="preserve">HILLSBORO - NEW LISBON             </v>
      </c>
      <c r="M547" t="str">
        <f>CLEAN("S FORK BARABOO R BRIDGE TO STH 33  ")</f>
        <v xml:space="preserve">S FORK BARABOO R BRIDGE TO STH 33  </v>
      </c>
      <c r="N547">
        <v>0.59399999999999997</v>
      </c>
      <c r="O547" t="str">
        <f t="shared" si="190"/>
        <v xml:space="preserve">          </v>
      </c>
      <c r="P547" t="str">
        <f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548" spans="1:16" x14ac:dyDescent="0.25">
      <c r="A548" t="str">
        <f t="shared" si="191"/>
        <v>10</v>
      </c>
      <c r="B548" t="str">
        <f t="shared" si="192"/>
        <v>21</v>
      </c>
      <c r="C548" s="1">
        <v>45972</v>
      </c>
      <c r="D548" t="str">
        <f>CLEAN("5079-00-70")</f>
        <v>5079-00-70</v>
      </c>
      <c r="E548" t="str">
        <f>CLEAN("205  ")</f>
        <v xml:space="preserve">205  </v>
      </c>
      <c r="F548" t="str">
        <f>CLEAN("$1,000,000 - $1,999,999  ")</f>
        <v xml:space="preserve">$1,000,000 - $1,999,999  </v>
      </c>
      <c r="G548" t="str">
        <f>CLEAN("LET")</f>
        <v>LET</v>
      </c>
      <c r="H548" t="str">
        <f>CLEAN("LET CONSTRUCTION         ")</f>
        <v xml:space="preserve">LET CONSTRUCTION         </v>
      </c>
      <c r="I548" t="str">
        <f>CLEAN("CONST/BRIDGE REPLACEMENT           ")</f>
        <v xml:space="preserve">CONST/BRIDGE REPLACEMENT           </v>
      </c>
      <c r="J548" t="str">
        <f>CLEAN("CTH G  ")</f>
        <v xml:space="preserve">CTH G  </v>
      </c>
      <c r="K548" t="str">
        <f>CLEAN("LA CROSSE                     ")</f>
        <v xml:space="preserve">LA CROSSE                     </v>
      </c>
      <c r="L548" t="str">
        <f>CLEAN("CTH P - CTH H                      ")</f>
        <v xml:space="preserve">CTH P - CTH H                      </v>
      </c>
      <c r="M548" t="str">
        <f>CLEAN("COON CREEK BRIDGE, B-32-0250       ")</f>
        <v xml:space="preserve">COON CREEK BRIDGE, B-32-0250       </v>
      </c>
      <c r="N548">
        <v>4.1000000000000002E-2</v>
      </c>
      <c r="O548" t="str">
        <f t="shared" si="190"/>
        <v xml:space="preserve">          </v>
      </c>
      <c r="P548" t="str">
        <f>CLEAN("LOCAL BRIDGES                                                                                       ")</f>
        <v xml:space="preserve">LOCAL BRIDGES                                                                                       </v>
      </c>
    </row>
    <row r="549" spans="1:16" x14ac:dyDescent="0.25">
      <c r="A549" t="str">
        <f t="shared" si="191"/>
        <v>10</v>
      </c>
      <c r="B549" t="str">
        <f t="shared" si="192"/>
        <v>21</v>
      </c>
      <c r="C549" s="1">
        <v>46245</v>
      </c>
      <c r="D549" t="str">
        <f>CLEAN("5080-09-75")</f>
        <v>5080-09-75</v>
      </c>
      <c r="E549" t="str">
        <f>CLEAN("303  ")</f>
        <v xml:space="preserve">303  </v>
      </c>
      <c r="F549" t="str">
        <f>CLEAN("$3,000,000 - $3,999,999  ")</f>
        <v xml:space="preserve">$3,000,000 - $3,999,999  </v>
      </c>
      <c r="G549" t="str">
        <f>CLEAN("LET")</f>
        <v>LET</v>
      </c>
      <c r="H549" t="str">
        <f>CLEAN("LET CONSTRUCTION         ")</f>
        <v xml:space="preserve">LET CONSTRUCTION         </v>
      </c>
      <c r="I549" t="str">
        <f>CLEAN("CONST/ MILL AND OVERLAY            ")</f>
        <v xml:space="preserve">CONST/ MILL AND OVERLAY            </v>
      </c>
      <c r="J549" t="str">
        <f>CLEAN("STH 023")</f>
        <v>STH 023</v>
      </c>
      <c r="K549" t="str">
        <f>CLEAN("SAUK                          ")</f>
        <v xml:space="preserve">SAUK                          </v>
      </c>
      <c r="L549" t="str">
        <f>CLEAN("SPRING GREEN - REEDSBURG           ")</f>
        <v xml:space="preserve">SPRING GREEN - REEDSBURG           </v>
      </c>
      <c r="M549" t="str">
        <f>CLEAN("CTH GG TO ELDER RIDGE ROAD         ")</f>
        <v xml:space="preserve">CTH GG TO ELDER RIDGE ROAD         </v>
      </c>
      <c r="N549">
        <v>5.23</v>
      </c>
      <c r="O549" t="str">
        <f t="shared" si="190"/>
        <v xml:space="preserve">          </v>
      </c>
      <c r="P549" t="str">
        <f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550" spans="1:16" x14ac:dyDescent="0.25">
      <c r="A550" t="str">
        <f t="shared" si="191"/>
        <v>10</v>
      </c>
      <c r="B550" t="str">
        <f t="shared" si="192"/>
        <v>21</v>
      </c>
      <c r="C550" s="1">
        <v>46245</v>
      </c>
      <c r="D550" t="str">
        <f>CLEAN("5090-00-70")</f>
        <v>5090-00-70</v>
      </c>
      <c r="E550" t="str">
        <f>CLEAN("205  ")</f>
        <v xml:space="preserve">205  </v>
      </c>
      <c r="F550" t="str">
        <f>CLEAN("$1,000,000 - $1,999,999  ")</f>
        <v xml:space="preserve">$1,000,000 - $1,999,999  </v>
      </c>
      <c r="G550" t="str">
        <f>CLEAN("LET")</f>
        <v>LET</v>
      </c>
      <c r="H550" t="str">
        <f>CLEAN("LET CONSTRUCTION         ")</f>
        <v xml:space="preserve">LET CONSTRUCTION         </v>
      </c>
      <c r="I550" t="str">
        <f>CLEAN("CONST OPS/BRIDGE REPLACEMENT       ")</f>
        <v xml:space="preserve">CONST OPS/BRIDGE REPLACEMENT       </v>
      </c>
      <c r="J550" t="str">
        <f>CLEAN("CTH X  ")</f>
        <v xml:space="preserve">CTH X  </v>
      </c>
      <c r="K550" t="str">
        <f>CLEAN("SAUK                          ")</f>
        <v xml:space="preserve">SAUK                          </v>
      </c>
      <c r="L550" t="str">
        <f>CLEAN("STH 33 - CTH W (CTH X)             ")</f>
        <v xml:space="preserve">STH 33 - CTH W (CTH X)             </v>
      </c>
      <c r="M550" t="str">
        <f>CLEAN("BARABOO RIVER BRIDGE B-56-0245     ")</f>
        <v xml:space="preserve">BARABOO RIVER BRIDGE B-56-0245     </v>
      </c>
      <c r="N550">
        <v>3.6999999999999998E-2</v>
      </c>
      <c r="O550" t="str">
        <f t="shared" si="190"/>
        <v xml:space="preserve">          </v>
      </c>
      <c r="P550" t="str">
        <f>CLEAN("LOCAL BRIDGES                                                                                       ")</f>
        <v xml:space="preserve">LOCAL BRIDGES                                                                                       </v>
      </c>
    </row>
    <row r="551" spans="1:16" x14ac:dyDescent="0.25">
      <c r="A551" t="str">
        <f t="shared" si="191"/>
        <v>10</v>
      </c>
      <c r="B551" t="str">
        <f t="shared" si="192"/>
        <v>21</v>
      </c>
      <c r="C551" s="1">
        <v>45894</v>
      </c>
      <c r="D551" t="str">
        <f>CLEAN("5100-01-23")</f>
        <v>5100-01-23</v>
      </c>
      <c r="E551" t="str">
        <f>CLEAN("303  ")</f>
        <v xml:space="preserve">303  </v>
      </c>
      <c r="F551" t="str">
        <f>CLEAN("$0 - $99,999             ")</f>
        <v xml:space="preserve">$0 - $99,999             </v>
      </c>
      <c r="G551" t="str">
        <f>CLEAN("R/E")</f>
        <v>R/E</v>
      </c>
      <c r="H551" t="str">
        <f>CLEAN("NONLET CONSTR/REAL ESTATE")</f>
        <v>NONLET CONSTR/REAL ESTATE</v>
      </c>
      <c r="I551" t="str">
        <f>CLEAN("RE OPS/ 5100-01-73 /PVRPLA         ")</f>
        <v xml:space="preserve">RE OPS/ 5100-01-73 /PVRPLA         </v>
      </c>
      <c r="J551" t="str">
        <f>CLEAN("STH 033")</f>
        <v>STH 033</v>
      </c>
      <c r="K551" t="str">
        <f>CLEAN("VERNON                        ")</f>
        <v xml:space="preserve">VERNON                        </v>
      </c>
      <c r="L551" t="str">
        <f>CLEAN("HILLSBORO - REEDSBURG              ")</f>
        <v xml:space="preserve">HILLSBORO - REEDSBURG              </v>
      </c>
      <c r="M551" t="str">
        <f>CLEAN("C HILLSBORO W LIMIT TO CTH HH      ")</f>
        <v xml:space="preserve">C HILLSBORO W LIMIT TO CTH HH      </v>
      </c>
      <c r="N551">
        <v>1.04</v>
      </c>
      <c r="O551" t="str">
        <f t="shared" si="190"/>
        <v xml:space="preserve">          </v>
      </c>
      <c r="P551" t="str">
        <f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552" spans="1:16" x14ac:dyDescent="0.25">
      <c r="A552" t="str">
        <f t="shared" si="191"/>
        <v>10</v>
      </c>
      <c r="B552" t="str">
        <f t="shared" si="192"/>
        <v>21</v>
      </c>
      <c r="C552" s="1">
        <v>45972</v>
      </c>
      <c r="D552" t="str">
        <f>CLEAN("5105-16-62")</f>
        <v>5105-16-62</v>
      </c>
      <c r="E552" t="str">
        <f>CLEAN("303  ")</f>
        <v xml:space="preserve">303  </v>
      </c>
      <c r="F552" t="str">
        <f>CLEAN("$750,000 - $999,999      ")</f>
        <v xml:space="preserve">$750,000 - $999,999      </v>
      </c>
      <c r="G552" t="str">
        <f>CLEAN("LET")</f>
        <v>LET</v>
      </c>
      <c r="H552" t="str">
        <f>CLEAN("LET CONSTRUCTION         ")</f>
        <v xml:space="preserve">LET CONSTRUCTION         </v>
      </c>
      <c r="I552" t="str">
        <f>CLEAN("CONST/ TREE CLEARING FY26 / MISC   ")</f>
        <v xml:space="preserve">CONST/ TREE CLEARING FY26 / MISC   </v>
      </c>
      <c r="J552" t="str">
        <f>CLEAN("NON HWY")</f>
        <v>NON HWY</v>
      </c>
      <c r="K552" t="str">
        <f>CLEAN("SOUTHWEST REGION WIDE         ")</f>
        <v xml:space="preserve">SOUTHWEST REGION WIDE         </v>
      </c>
      <c r="L552" t="str">
        <f>CLEAN("REGIONWIDE TREE CLEARING           ")</f>
        <v xml:space="preserve">REGIONWIDE TREE CLEARING           </v>
      </c>
      <c r="M552" t="str">
        <f>CLEAN("VARIOUS LOCATIONS                  ")</f>
        <v xml:space="preserve">VARIOUS LOCATIONS                  </v>
      </c>
      <c r="N552">
        <v>0</v>
      </c>
      <c r="O552" t="str">
        <f t="shared" si="190"/>
        <v xml:space="preserve">          </v>
      </c>
      <c r="P552" t="str">
        <f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553" spans="1:16" x14ac:dyDescent="0.25">
      <c r="A553" t="str">
        <f t="shared" si="191"/>
        <v>10</v>
      </c>
      <c r="B553" t="str">
        <f t="shared" si="192"/>
        <v>21</v>
      </c>
      <c r="C553" s="1">
        <v>45894</v>
      </c>
      <c r="D553" t="str">
        <f>CLEAN("5110-06-21")</f>
        <v>5110-06-21</v>
      </c>
      <c r="E553" t="str">
        <f>CLEAN("303  ")</f>
        <v xml:space="preserve">303  </v>
      </c>
      <c r="F553" t="str">
        <f>CLEAN("$0 - $99,999             ")</f>
        <v xml:space="preserve">$0 - $99,999             </v>
      </c>
      <c r="G553" t="str">
        <f>CLEAN("R/E")</f>
        <v>R/E</v>
      </c>
      <c r="H553" t="str">
        <f>CLEAN("NONLET CONSTR/REAL ESTATE")</f>
        <v>NONLET CONSTR/REAL ESTATE</v>
      </c>
      <c r="I553" t="str">
        <f>CLEAN("RE OPS/ 5110-06-71/ PVRPLA         ")</f>
        <v xml:space="preserve">RE OPS/ 5110-06-71/ PVRPLA         </v>
      </c>
      <c r="J553" t="str">
        <f>CLEAN("STH 131")</f>
        <v>STH 131</v>
      </c>
      <c r="K553" t="str">
        <f>CLEAN("VERNON                        ")</f>
        <v xml:space="preserve">VERNON                        </v>
      </c>
      <c r="L553" t="str">
        <f>CLEAN("READSTOWN - ONTARIO                ")</f>
        <v xml:space="preserve">READSTOWN - ONTARIO                </v>
      </c>
      <c r="M553" t="str">
        <f>CLEAN("RICHLAND COUNTY LINE TO STH 82     ")</f>
        <v xml:space="preserve">RICHLAND COUNTY LINE TO STH 82     </v>
      </c>
      <c r="N553">
        <v>2.19</v>
      </c>
      <c r="O553" t="str">
        <f t="shared" si="190"/>
        <v xml:space="preserve">          </v>
      </c>
      <c r="P553" t="str">
        <f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554" spans="1:16" x14ac:dyDescent="0.25">
      <c r="A554" t="str">
        <f t="shared" si="191"/>
        <v>10</v>
      </c>
      <c r="B554" t="str">
        <f t="shared" si="192"/>
        <v>21</v>
      </c>
      <c r="C554" s="1">
        <v>46091</v>
      </c>
      <c r="D554" t="str">
        <f>CLEAN("5110-06-70")</f>
        <v>5110-06-70</v>
      </c>
      <c r="E554" t="str">
        <f>CLEAN("303  ")</f>
        <v xml:space="preserve">303  </v>
      </c>
      <c r="F554" t="str">
        <f>CLEAN("$12,000,000 - $12,999,999")</f>
        <v>$12,000,000 - $12,999,999</v>
      </c>
      <c r="G554" t="str">
        <f>CLEAN("LET")</f>
        <v>LET</v>
      </c>
      <c r="H554" t="str">
        <f>CLEAN("LET CONSTRUCTION         ")</f>
        <v xml:space="preserve">LET CONSTRUCTION         </v>
      </c>
      <c r="I554" t="str">
        <f>CLEAN("CONST/ PVRPLA                      ")</f>
        <v xml:space="preserve">CONST/ PVRPLA                      </v>
      </c>
      <c r="J554" t="str">
        <f>CLEAN("STH 131")</f>
        <v>STH 131</v>
      </c>
      <c r="K554" t="str">
        <f>CLEAN("VERNON                        ")</f>
        <v xml:space="preserve">VERNON                        </v>
      </c>
      <c r="L554" t="str">
        <f>CLEAN("READSTOWN - ONTARIO                ")</f>
        <v xml:space="preserve">READSTOWN - ONTARIO                </v>
      </c>
      <c r="M554" t="str">
        <f>CLEAN("STH 82 TO STH 33/ B-62-47,-187     ")</f>
        <v xml:space="preserve">STH 82 TO STH 33/ B-62-47,-187     </v>
      </c>
      <c r="N554">
        <v>12.23</v>
      </c>
      <c r="O554" t="str">
        <f t="shared" si="190"/>
        <v xml:space="preserve">          </v>
      </c>
      <c r="P554" t="str">
        <f>CLEAN("SHR BRIDGES                                                                                         ")</f>
        <v xml:space="preserve">SHR BRIDGES                                                                                         </v>
      </c>
    </row>
    <row r="555" spans="1:16" x14ac:dyDescent="0.25">
      <c r="A555" t="str">
        <f t="shared" si="191"/>
        <v>10</v>
      </c>
      <c r="B555" t="str">
        <f t="shared" si="192"/>
        <v>21</v>
      </c>
      <c r="C555" s="1">
        <v>46091</v>
      </c>
      <c r="D555" t="str">
        <f>CLEAN("5110-06-70")</f>
        <v>5110-06-70</v>
      </c>
      <c r="E555" t="str">
        <f>CLEAN("303  ")</f>
        <v xml:space="preserve">303  </v>
      </c>
      <c r="F555" t="str">
        <f>CLEAN("$12,000,000 - $12,999,999")</f>
        <v>$12,000,000 - $12,999,999</v>
      </c>
      <c r="G555" t="str">
        <f>CLEAN("LET")</f>
        <v>LET</v>
      </c>
      <c r="H555" t="str">
        <f>CLEAN("LET CONSTRUCTION         ")</f>
        <v xml:space="preserve">LET CONSTRUCTION         </v>
      </c>
      <c r="I555" t="str">
        <f>CLEAN("CONST/ PVRPLA                      ")</f>
        <v xml:space="preserve">CONST/ PVRPLA                      </v>
      </c>
      <c r="J555" t="str">
        <f>CLEAN("STH 131")</f>
        <v>STH 131</v>
      </c>
      <c r="K555" t="str">
        <f>CLEAN("VERNON                        ")</f>
        <v xml:space="preserve">VERNON                        </v>
      </c>
      <c r="L555" t="str">
        <f>CLEAN("READSTOWN - ONTARIO                ")</f>
        <v xml:space="preserve">READSTOWN - ONTARIO                </v>
      </c>
      <c r="M555" t="str">
        <f>CLEAN("STH 82 TO STH 33/ B-62-47,-187     ")</f>
        <v xml:space="preserve">STH 82 TO STH 33/ B-62-47,-187     </v>
      </c>
      <c r="N555">
        <v>12.23</v>
      </c>
      <c r="O555" t="str">
        <f t="shared" si="190"/>
        <v xml:space="preserve">          </v>
      </c>
      <c r="P555" t="str">
        <f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556" spans="1:16" x14ac:dyDescent="0.25">
      <c r="A556" t="str">
        <f t="shared" si="191"/>
        <v>10</v>
      </c>
      <c r="B556" t="str">
        <f t="shared" si="192"/>
        <v>21</v>
      </c>
      <c r="C556" s="1">
        <v>46035</v>
      </c>
      <c r="D556" t="str">
        <f>CLEAN("5116-00-71")</f>
        <v>5116-00-71</v>
      </c>
      <c r="E556" t="str">
        <f>CLEAN("205  ")</f>
        <v xml:space="preserve">205  </v>
      </c>
      <c r="F556" t="str">
        <f>CLEAN("$500,000 - $749,999      ")</f>
        <v xml:space="preserve">$500,000 - $749,999      </v>
      </c>
      <c r="G556" t="str">
        <f>CLEAN("LET")</f>
        <v>LET</v>
      </c>
      <c r="H556" t="str">
        <f>CLEAN("LET CONSTRUCTION         ")</f>
        <v xml:space="preserve">LET CONSTRUCTION         </v>
      </c>
      <c r="I556" t="str">
        <f>CLEAN("CONST/BRIDGE REPLACEMENT           ")</f>
        <v xml:space="preserve">CONST/BRIDGE REPLACEMENT           </v>
      </c>
      <c r="J556" t="str">
        <f>CLEAN("CTH A  ")</f>
        <v xml:space="preserve">CTH A  </v>
      </c>
      <c r="K556" t="str">
        <f>CLEAN("MONROE                        ")</f>
        <v xml:space="preserve">MONROE                        </v>
      </c>
      <c r="L556" t="str">
        <f>CLEAN("CTH N - T CLIFTON                  ")</f>
        <v xml:space="preserve">CTH N - T CLIFTON                  </v>
      </c>
      <c r="M556" t="str">
        <f>CLEAN("INDIAN CREEK BRIDGE B-41-0335      ")</f>
        <v xml:space="preserve">INDIAN CREEK BRIDGE B-41-0335      </v>
      </c>
      <c r="N556">
        <v>2.5000000000000001E-2</v>
      </c>
      <c r="O556" t="str">
        <f t="shared" si="190"/>
        <v xml:space="preserve">          </v>
      </c>
      <c r="P556" t="str">
        <f>CLEAN("LOCAL BRIDGES                                                                                       ")</f>
        <v xml:space="preserve">LOCAL BRIDGES                                                                                       </v>
      </c>
    </row>
    <row r="557" spans="1:16" x14ac:dyDescent="0.25">
      <c r="A557" t="str">
        <f t="shared" si="191"/>
        <v>10</v>
      </c>
      <c r="B557" t="str">
        <f t="shared" si="192"/>
        <v>21</v>
      </c>
      <c r="C557" s="1">
        <v>45909</v>
      </c>
      <c r="D557" t="str">
        <f>CLEAN("5126-00-74")</f>
        <v>5126-00-74</v>
      </c>
      <c r="E557" t="str">
        <f>CLEAN("205  ")</f>
        <v xml:space="preserve">205  </v>
      </c>
      <c r="F557" t="str">
        <f>CLEAN("$250,000 - $499,999      ")</f>
        <v xml:space="preserve">$250,000 - $499,999      </v>
      </c>
      <c r="G557" t="str">
        <f>CLEAN("LET")</f>
        <v>LET</v>
      </c>
      <c r="H557" t="str">
        <f>CLEAN("LET CONSTRUCTION         ")</f>
        <v xml:space="preserve">LET CONSTRUCTION         </v>
      </c>
      <c r="I557" t="str">
        <f>CLEAN("CONST OPS/BRIDGE REPLACEMENT       ")</f>
        <v xml:space="preserve">CONST OPS/BRIDGE REPLACEMENT       </v>
      </c>
      <c r="J557" t="str">
        <f>CLEAN("CTH N  ")</f>
        <v xml:space="preserve">CTH N  </v>
      </c>
      <c r="K557" t="str">
        <f>CLEAN("MONROE                        ")</f>
        <v xml:space="preserve">MONROE                        </v>
      </c>
      <c r="L557" t="str">
        <f>CLEAN("CTH W - CTH A (CTH N)              ")</f>
        <v xml:space="preserve">CTH W - CTH A (CTH N)              </v>
      </c>
      <c r="M557" t="str">
        <f>CLEAN("LITTLE LEMONWEIR BRIDGE B-41-0331  ")</f>
        <v xml:space="preserve">LITTLE LEMONWEIR BRIDGE B-41-0331  </v>
      </c>
      <c r="N557">
        <v>2.8000000000000001E-2</v>
      </c>
      <c r="O557" t="str">
        <f t="shared" si="190"/>
        <v xml:space="preserve">          </v>
      </c>
      <c r="P557" t="str">
        <f>CLEAN("LOCAL BRIDGES                                                                                       ")</f>
        <v xml:space="preserve">LOCAL BRIDGES                                                                                       </v>
      </c>
    </row>
    <row r="558" spans="1:16" x14ac:dyDescent="0.25">
      <c r="A558" t="str">
        <f t="shared" si="191"/>
        <v>10</v>
      </c>
      <c r="B558" t="str">
        <f t="shared" si="192"/>
        <v>21</v>
      </c>
      <c r="C558" s="1">
        <v>46091</v>
      </c>
      <c r="D558" t="str">
        <f>CLEAN("5127-00-74")</f>
        <v>5127-00-74</v>
      </c>
      <c r="E558" t="str">
        <f>CLEAN("205  ")</f>
        <v xml:space="preserve">205  </v>
      </c>
      <c r="F558" t="str">
        <f>CLEAN("$500,000 - $749,999      ")</f>
        <v xml:space="preserve">$500,000 - $749,999      </v>
      </c>
      <c r="G558" t="str">
        <f>CLEAN("LET")</f>
        <v>LET</v>
      </c>
      <c r="H558" t="str">
        <f>CLEAN("LET CONSTRUCTION         ")</f>
        <v xml:space="preserve">LET CONSTRUCTION         </v>
      </c>
      <c r="I558" t="str">
        <f>CLEAN("CONST/BRIDGE REPLACEMENT           ")</f>
        <v xml:space="preserve">CONST/BRIDGE REPLACEMENT           </v>
      </c>
      <c r="J558" t="str">
        <f>CLEAN("CTH T  ")</f>
        <v xml:space="preserve">CTH T  </v>
      </c>
      <c r="K558" t="str">
        <f>CLEAN("MONROE                        ")</f>
        <v xml:space="preserve">MONROE                        </v>
      </c>
      <c r="L558" t="str">
        <f>CLEAN("STH 71 - CTH A                     ")</f>
        <v xml:space="preserve">STH 71 - CTH A                     </v>
      </c>
      <c r="M558" t="str">
        <f>CLEAN("MORRIS CREEK BRIDGE B-41-0337      ")</f>
        <v xml:space="preserve">MORRIS CREEK BRIDGE B-41-0337      </v>
      </c>
      <c r="N558">
        <v>2.4E-2</v>
      </c>
      <c r="O558" t="str">
        <f t="shared" si="190"/>
        <v xml:space="preserve">          </v>
      </c>
      <c r="P558" t="str">
        <f>CLEAN("LOCAL BRIDGES                                                                                       ")</f>
        <v xml:space="preserve">LOCAL BRIDGES                                                                                       </v>
      </c>
    </row>
    <row r="559" spans="1:16" x14ac:dyDescent="0.25">
      <c r="A559" t="str">
        <f t="shared" si="191"/>
        <v>10</v>
      </c>
      <c r="B559" t="str">
        <f t="shared" si="192"/>
        <v>21</v>
      </c>
      <c r="C559" s="1">
        <v>45986</v>
      </c>
      <c r="D559" t="str">
        <f>CLEAN("5130-05-25")</f>
        <v>5130-05-25</v>
      </c>
      <c r="E559" t="str">
        <f t="shared" ref="E559:E568" si="193">CLEAN("303  ")</f>
        <v xml:space="preserve">303  </v>
      </c>
      <c r="F559" t="str">
        <f>CLEAN("$0 - $99,999             ")</f>
        <v xml:space="preserve">$0 - $99,999             </v>
      </c>
      <c r="G559" t="str">
        <f>CLEAN("R/E")</f>
        <v>R/E</v>
      </c>
      <c r="H559" t="str">
        <f>CLEAN("NONLET CONSTR/REAL ESTATE")</f>
        <v>NONLET CONSTR/REAL ESTATE</v>
      </c>
      <c r="I559" t="str">
        <f>CLEAN("RE OPS/ 5130-05-75/ PVRPLA         ")</f>
        <v xml:space="preserve">RE OPS/ 5130-05-75/ PVRPLA         </v>
      </c>
      <c r="J559" t="str">
        <f>CLEAN("STH 131")</f>
        <v>STH 131</v>
      </c>
      <c r="K559" t="str">
        <f>CLEAN("MONROE                        ")</f>
        <v xml:space="preserve">MONROE                        </v>
      </c>
      <c r="L559" t="str">
        <f>CLEAN("ONTARIO - TOMAH                    ")</f>
        <v xml:space="preserve">ONTARIO - TOMAH                    </v>
      </c>
      <c r="M559" t="str">
        <f>CLEAN("CTH A TO HIAWATHA AVE              ")</f>
        <v xml:space="preserve">CTH A TO HIAWATHA AVE              </v>
      </c>
      <c r="N559">
        <v>4.05</v>
      </c>
      <c r="O559" t="str">
        <f t="shared" si="190"/>
        <v xml:space="preserve">          </v>
      </c>
      <c r="P559" t="str">
        <f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560" spans="1:16" x14ac:dyDescent="0.25">
      <c r="A560" t="str">
        <f t="shared" si="191"/>
        <v>10</v>
      </c>
      <c r="B560" t="str">
        <f t="shared" si="192"/>
        <v>21</v>
      </c>
      <c r="C560" s="1">
        <v>46106</v>
      </c>
      <c r="D560" t="str">
        <f>CLEAN("5138-00-20")</f>
        <v>5138-00-20</v>
      </c>
      <c r="E560" t="str">
        <f t="shared" si="193"/>
        <v xml:space="preserve">303  </v>
      </c>
      <c r="F560" t="str">
        <f>CLEAN("$0 - $99,999             ")</f>
        <v xml:space="preserve">$0 - $99,999             </v>
      </c>
      <c r="G560" t="str">
        <f>CLEAN("R/E")</f>
        <v>R/E</v>
      </c>
      <c r="H560" t="str">
        <f>CLEAN("NONLET CONSTR/REAL ESTATE")</f>
        <v>NONLET CONSTR/REAL ESTATE</v>
      </c>
      <c r="I560" t="str">
        <f>CLEAN("RE / 5138-00-70 / PVRPLA           ")</f>
        <v xml:space="preserve">RE / 5138-00-70 / PVRPLA           </v>
      </c>
      <c r="J560" t="str">
        <f>CLEAN("STH 080")</f>
        <v>STH 080</v>
      </c>
      <c r="K560" t="str">
        <f>CLEAN("GRANT                         ")</f>
        <v xml:space="preserve">GRANT                         </v>
      </c>
      <c r="L560" t="str">
        <f>CLEAN("AVOCA - RICHLAND CENTER            ")</f>
        <v xml:space="preserve">AVOCA - RICHLAND CENTER            </v>
      </c>
      <c r="M560" t="str">
        <f>CLEAN("IOWA COUNTY LINE TO WISCONSIN RIVER")</f>
        <v>IOWA COUNTY LINE TO WISCONSIN RIVER</v>
      </c>
      <c r="N560">
        <v>1.774</v>
      </c>
      <c r="O560" t="str">
        <f t="shared" si="190"/>
        <v xml:space="preserve">          </v>
      </c>
      <c r="P560" t="str">
        <f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561" spans="1:16" x14ac:dyDescent="0.25">
      <c r="A561" t="str">
        <f t="shared" si="191"/>
        <v>10</v>
      </c>
      <c r="B561" t="str">
        <f t="shared" si="192"/>
        <v>21</v>
      </c>
      <c r="C561" s="1">
        <v>46154</v>
      </c>
      <c r="D561" t="str">
        <f>CLEAN("5155-02-74")</f>
        <v>5155-02-74</v>
      </c>
      <c r="E561" t="str">
        <f t="shared" si="193"/>
        <v xml:space="preserve">303  </v>
      </c>
      <c r="F561" t="str">
        <f>CLEAN("$4,000,000 - $4,999,999  ")</f>
        <v xml:space="preserve">$4,000,000 - $4,999,999  </v>
      </c>
      <c r="G561" t="str">
        <f>CLEAN("LET")</f>
        <v>LET</v>
      </c>
      <c r="H561" t="str">
        <f>CLEAN("LET CONSTRUCTION         ")</f>
        <v xml:space="preserve">LET CONSTRUCTION         </v>
      </c>
      <c r="I561" t="str">
        <f>CLEAN("CONST/ MILL AND OVERLAY            ")</f>
        <v xml:space="preserve">CONST/ MILL AND OVERLAY            </v>
      </c>
      <c r="J561" t="str">
        <f>CLEAN("USH 014")</f>
        <v>USH 014</v>
      </c>
      <c r="K561" t="str">
        <f>CLEAN("ROCK                          ")</f>
        <v xml:space="preserve">ROCK                          </v>
      </c>
      <c r="L561" t="str">
        <f>CLEAN("MADISON - EVANSVILLE               ")</f>
        <v xml:space="preserve">MADISON - EVANSVILLE               </v>
      </c>
      <c r="M561" t="str">
        <f>CLEAN("STH 92 TO C EVANSVILLE N LIMIT     ")</f>
        <v xml:space="preserve">STH 92 TO C EVANSVILLE N LIMIT     </v>
      </c>
      <c r="N561">
        <v>5.3209999999999997</v>
      </c>
      <c r="O561" t="str">
        <f>CLEAN("5155-02-75")</f>
        <v>5155-02-75</v>
      </c>
      <c r="P561" t="str">
        <f>CLEAN("SAFETY (REGULAR HSIP)                                                                               ")</f>
        <v xml:space="preserve">SAFETY (REGULAR HSIP)                                                                               </v>
      </c>
    </row>
    <row r="562" spans="1:16" x14ac:dyDescent="0.25">
      <c r="A562" t="str">
        <f t="shared" si="191"/>
        <v>10</v>
      </c>
      <c r="B562" t="str">
        <f t="shared" si="192"/>
        <v>21</v>
      </c>
      <c r="C562" s="1">
        <v>46154</v>
      </c>
      <c r="D562" t="str">
        <f>CLEAN("5155-02-74")</f>
        <v>5155-02-74</v>
      </c>
      <c r="E562" t="str">
        <f t="shared" si="193"/>
        <v xml:space="preserve">303  </v>
      </c>
      <c r="F562" t="str">
        <f>CLEAN("$4,000,000 - $4,999,999  ")</f>
        <v xml:space="preserve">$4,000,000 - $4,999,999  </v>
      </c>
      <c r="G562" t="str">
        <f>CLEAN("LET")</f>
        <v>LET</v>
      </c>
      <c r="H562" t="str">
        <f>CLEAN("LET CONSTRUCTION         ")</f>
        <v xml:space="preserve">LET CONSTRUCTION         </v>
      </c>
      <c r="I562" t="str">
        <f>CLEAN("CONST/ MILL AND OVERLAY            ")</f>
        <v xml:space="preserve">CONST/ MILL AND OVERLAY            </v>
      </c>
      <c r="J562" t="str">
        <f>CLEAN("USH 014")</f>
        <v>USH 014</v>
      </c>
      <c r="K562" t="str">
        <f>CLEAN("ROCK                          ")</f>
        <v xml:space="preserve">ROCK                          </v>
      </c>
      <c r="L562" t="str">
        <f>CLEAN("MADISON - EVANSVILLE               ")</f>
        <v xml:space="preserve">MADISON - EVANSVILLE               </v>
      </c>
      <c r="M562" t="str">
        <f>CLEAN("STH 92 TO C EVANSVILLE N LIMIT     ")</f>
        <v xml:space="preserve">STH 92 TO C EVANSVILLE N LIMIT     </v>
      </c>
      <c r="N562">
        <v>5.3209999999999997</v>
      </c>
      <c r="O562" t="str">
        <f>CLEAN("5155-02-75")</f>
        <v>5155-02-75</v>
      </c>
      <c r="P562" t="str">
        <f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563" spans="1:16" x14ac:dyDescent="0.25">
      <c r="A563" t="str">
        <f t="shared" si="191"/>
        <v>10</v>
      </c>
      <c r="B563" t="str">
        <f t="shared" si="192"/>
        <v>21</v>
      </c>
      <c r="C563" s="1">
        <v>46154</v>
      </c>
      <c r="D563" t="str">
        <f>CLEAN("5155-02-75")</f>
        <v>5155-02-75</v>
      </c>
      <c r="E563" t="str">
        <f t="shared" si="193"/>
        <v xml:space="preserve">303  </v>
      </c>
      <c r="F563" t="str">
        <f>CLEAN("$1,000,000 - $1,999,999  ")</f>
        <v xml:space="preserve">$1,000,000 - $1,999,999  </v>
      </c>
      <c r="G563" t="str">
        <f>CLEAN("LET")</f>
        <v>LET</v>
      </c>
      <c r="H563" t="str">
        <f>CLEAN("LET CONSTRUCTION         ")</f>
        <v xml:space="preserve">LET CONSTRUCTION         </v>
      </c>
      <c r="I563" t="str">
        <f>CLEAN("CONS/LEFT TURN LN&amp;CURVE ALIGN/RECST")</f>
        <v>CONS/LEFT TURN LN&amp;CURVE ALIGN/RECST</v>
      </c>
      <c r="J563" t="str">
        <f>CLEAN("USH 014")</f>
        <v>USH 014</v>
      </c>
      <c r="K563" t="str">
        <f>CLEAN("ROCK                          ")</f>
        <v xml:space="preserve">ROCK                          </v>
      </c>
      <c r="L563" t="str">
        <f>CLEAN("MADISON - EVANSVILLE               ")</f>
        <v xml:space="preserve">MADISON - EVANSVILLE               </v>
      </c>
      <c r="M563" t="str">
        <f>CLEAN("BUTTS CORNER ROAD INTERSECTION AREA")</f>
        <v>BUTTS CORNER ROAD INTERSECTION AREA</v>
      </c>
      <c r="N563">
        <v>0.27400000000000002</v>
      </c>
      <c r="O563" t="str">
        <f>CLEAN("5155-02-74")</f>
        <v>5155-02-74</v>
      </c>
      <c r="P563" t="str">
        <f>CLEAN("SAFETY (REGULAR HSIP)                                                                               ")</f>
        <v xml:space="preserve">SAFETY (REGULAR HSIP)                                                                               </v>
      </c>
    </row>
    <row r="564" spans="1:16" x14ac:dyDescent="0.25">
      <c r="A564" t="str">
        <f t="shared" si="191"/>
        <v>10</v>
      </c>
      <c r="B564" t="str">
        <f t="shared" si="192"/>
        <v>21</v>
      </c>
      <c r="C564" s="1">
        <v>46154</v>
      </c>
      <c r="D564" t="str">
        <f>CLEAN("5155-02-75")</f>
        <v>5155-02-75</v>
      </c>
      <c r="E564" t="str">
        <f t="shared" si="193"/>
        <v xml:space="preserve">303  </v>
      </c>
      <c r="F564" t="str">
        <f>CLEAN("$1,000,000 - $1,999,999  ")</f>
        <v xml:space="preserve">$1,000,000 - $1,999,999  </v>
      </c>
      <c r="G564" t="str">
        <f>CLEAN("LET")</f>
        <v>LET</v>
      </c>
      <c r="H564" t="str">
        <f>CLEAN("LET CONSTRUCTION         ")</f>
        <v xml:space="preserve">LET CONSTRUCTION         </v>
      </c>
      <c r="I564" t="str">
        <f>CLEAN("CONS/LEFT TURN LN&amp;CURVE ALIGN/RECST")</f>
        <v>CONS/LEFT TURN LN&amp;CURVE ALIGN/RECST</v>
      </c>
      <c r="J564" t="str">
        <f>CLEAN("USH 014")</f>
        <v>USH 014</v>
      </c>
      <c r="K564" t="str">
        <f>CLEAN("ROCK                          ")</f>
        <v xml:space="preserve">ROCK                          </v>
      </c>
      <c r="L564" t="str">
        <f>CLEAN("MADISON - EVANSVILLE               ")</f>
        <v xml:space="preserve">MADISON - EVANSVILLE               </v>
      </c>
      <c r="M564" t="str">
        <f>CLEAN("BUTTS CORNER ROAD INTERSECTION AREA")</f>
        <v>BUTTS CORNER ROAD INTERSECTION AREA</v>
      </c>
      <c r="N564">
        <v>0.27400000000000002</v>
      </c>
      <c r="O564" t="str">
        <f>CLEAN("5155-02-74")</f>
        <v>5155-02-74</v>
      </c>
      <c r="P564" t="str">
        <f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565" spans="1:16" x14ac:dyDescent="0.25">
      <c r="A565" t="str">
        <f t="shared" si="191"/>
        <v>10</v>
      </c>
      <c r="B565" t="str">
        <f t="shared" si="192"/>
        <v>21</v>
      </c>
      <c r="C565" s="1">
        <v>45894</v>
      </c>
      <c r="D565" t="str">
        <f>CLEAN("5155-06-20")</f>
        <v>5155-06-20</v>
      </c>
      <c r="E565" t="str">
        <f t="shared" si="193"/>
        <v xml:space="preserve">303  </v>
      </c>
      <c r="F565" t="str">
        <f>CLEAN("$0 - $99,999             ")</f>
        <v xml:space="preserve">$0 - $99,999             </v>
      </c>
      <c r="G565" t="str">
        <f>CLEAN("R/E")</f>
        <v>R/E</v>
      </c>
      <c r="H565" t="str">
        <f>CLEAN("NONLET CONSTR/REAL ESTATE")</f>
        <v>NONLET CONSTR/REAL ESTATE</v>
      </c>
      <c r="I565" t="str">
        <f>CLEAN("R/E OPERATIONS/ RECST              ")</f>
        <v xml:space="preserve">R/E OPERATIONS/ RECST              </v>
      </c>
      <c r="J565" t="str">
        <f>CLEAN("USH 014")</f>
        <v>USH 014</v>
      </c>
      <c r="K565" t="str">
        <f>CLEAN("ROCK                          ")</f>
        <v xml:space="preserve">ROCK                          </v>
      </c>
      <c r="L565" t="str">
        <f>CLEAN("EVANSVILLE - JANESVILLE            ")</f>
        <v xml:space="preserve">EVANSVILLE - JANESVILLE            </v>
      </c>
      <c r="M565" t="str">
        <f>CLEAN("CTH H INTERSECTION                 ")</f>
        <v xml:space="preserve">CTH H INTERSECTION                 </v>
      </c>
      <c r="N565">
        <v>0.41</v>
      </c>
      <c r="O565" t="str">
        <f>CLEAN("          ")</f>
        <v xml:space="preserve">          </v>
      </c>
      <c r="P565" t="str">
        <f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566" spans="1:16" x14ac:dyDescent="0.25">
      <c r="A566" t="str">
        <f t="shared" si="191"/>
        <v>10</v>
      </c>
      <c r="B566" t="str">
        <f t="shared" si="192"/>
        <v>21</v>
      </c>
      <c r="C566" s="1">
        <v>45925</v>
      </c>
      <c r="D566" t="str">
        <f>CLEAN("5163-07-52")</f>
        <v>5163-07-52</v>
      </c>
      <c r="E566" t="str">
        <f t="shared" si="193"/>
        <v xml:space="preserve">303  </v>
      </c>
      <c r="F566" t="str">
        <f>CLEAN("$100,000-$249,999        ")</f>
        <v xml:space="preserve">$100,000-$249,999        </v>
      </c>
      <c r="G566" t="str">
        <f>CLEAN("R/R")</f>
        <v>R/R</v>
      </c>
      <c r="H566" t="str">
        <f>CLEAN("NONLET CONSTR/REAL ESTATE")</f>
        <v>NONLET CONSTR/REAL ESTATE</v>
      </c>
      <c r="I566" t="str">
        <f>CLEAN("RR SURFACE/5163-07-72/RECST        ")</f>
        <v xml:space="preserve">RR SURFACE/5163-07-72/RECST        </v>
      </c>
      <c r="J566" t="str">
        <f>CLEAN("STH 035")</f>
        <v>STH 035</v>
      </c>
      <c r="K566" t="str">
        <f>CLEAN("LA CROSSE                     ")</f>
        <v xml:space="preserve">LA CROSSE                     </v>
      </c>
      <c r="L566" t="str">
        <f>CLEAN("GENOA - LACROSSE                   ")</f>
        <v xml:space="preserve">GENOA - LACROSSE                   </v>
      </c>
      <c r="M566" t="str">
        <f>CLEAN("LACROSSE CO LINE TO SUNNYSIDE DR   ")</f>
        <v xml:space="preserve">LACROSSE CO LINE TO SUNNYSIDE DR   </v>
      </c>
      <c r="N566">
        <v>1.5609999999999999</v>
      </c>
      <c r="O566" t="str">
        <f>CLEAN("          ")</f>
        <v xml:space="preserve">          </v>
      </c>
      <c r="P566" t="str">
        <f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567" spans="1:16" x14ac:dyDescent="0.25">
      <c r="A567" t="str">
        <f t="shared" si="191"/>
        <v>10</v>
      </c>
      <c r="B567" t="str">
        <f t="shared" si="192"/>
        <v>21</v>
      </c>
      <c r="C567" s="1">
        <v>45925</v>
      </c>
      <c r="D567" t="str">
        <f>CLEAN("5163-07-53")</f>
        <v>5163-07-53</v>
      </c>
      <c r="E567" t="str">
        <f t="shared" si="193"/>
        <v xml:space="preserve">303  </v>
      </c>
      <c r="F567" t="str">
        <f>CLEAN("$0 - $99,999             ")</f>
        <v xml:space="preserve">$0 - $99,999             </v>
      </c>
      <c r="G567" t="str">
        <f>CLEAN("R/R")</f>
        <v>R/R</v>
      </c>
      <c r="H567" t="str">
        <f>CLEAN("NONLET CONSTR/REAL ESTATE")</f>
        <v>NONLET CONSTR/REAL ESTATE</v>
      </c>
      <c r="I567" t="str">
        <f>CLEAN("RR SIGNALS/5163-07-72/RECST        ")</f>
        <v xml:space="preserve">RR SIGNALS/5163-07-72/RECST        </v>
      </c>
      <c r="J567" t="str">
        <f>CLEAN("STH 035")</f>
        <v>STH 035</v>
      </c>
      <c r="K567" t="str">
        <f>CLEAN("LA CROSSE                     ")</f>
        <v xml:space="preserve">LA CROSSE                     </v>
      </c>
      <c r="L567" t="str">
        <f>CLEAN("GENOA - LACROSSE                   ")</f>
        <v xml:space="preserve">GENOA - LACROSSE                   </v>
      </c>
      <c r="M567" t="str">
        <f>CLEAN("LACROSSE CO LINE TO SUNNYSIDE DR   ")</f>
        <v xml:space="preserve">LACROSSE CO LINE TO SUNNYSIDE DR   </v>
      </c>
      <c r="N567">
        <v>1.5609999999999999</v>
      </c>
      <c r="O567" t="str">
        <f>CLEAN("          ")</f>
        <v xml:space="preserve">          </v>
      </c>
      <c r="P567" t="str">
        <f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568" spans="1:16" x14ac:dyDescent="0.25">
      <c r="A568" t="str">
        <f t="shared" si="191"/>
        <v>10</v>
      </c>
      <c r="B568" t="str">
        <f t="shared" si="192"/>
        <v>21</v>
      </c>
      <c r="C568" s="1">
        <v>45881</v>
      </c>
      <c r="D568" t="str">
        <f>CLEAN("5163-07-72")</f>
        <v>5163-07-72</v>
      </c>
      <c r="E568" t="str">
        <f t="shared" si="193"/>
        <v xml:space="preserve">303  </v>
      </c>
      <c r="F568" t="str">
        <f>CLEAN("$9,000,000 - $9,999,999  ")</f>
        <v xml:space="preserve">$9,000,000 - $9,999,999  </v>
      </c>
      <c r="G568" t="str">
        <f>CLEAN("LET")</f>
        <v>LET</v>
      </c>
      <c r="H568" t="str">
        <f>CLEAN("LET CONSTRUCTION         ")</f>
        <v xml:space="preserve">LET CONSTRUCTION         </v>
      </c>
      <c r="I568" t="str">
        <f>CLEAN("CONST/DECK RPL B-32-163/RECST      ")</f>
        <v xml:space="preserve">CONST/DECK RPL B-32-163/RECST      </v>
      </c>
      <c r="J568" t="str">
        <f>CLEAN("STH 035")</f>
        <v>STH 035</v>
      </c>
      <c r="K568" t="str">
        <f>CLEAN("LA CROSSE                     ")</f>
        <v xml:space="preserve">LA CROSSE                     </v>
      </c>
      <c r="L568" t="str">
        <f>CLEAN("GENOA - LACROSSE                   ")</f>
        <v xml:space="preserve">GENOA - LACROSSE                   </v>
      </c>
      <c r="M568" t="str">
        <f>CLEAN("LACROSSE CO LINE TO SUNNYSIDE DR   ")</f>
        <v xml:space="preserve">LACROSSE CO LINE TO SUNNYSIDE DR   </v>
      </c>
      <c r="N568">
        <v>1.51</v>
      </c>
      <c r="O568" t="str">
        <f>CLEAN("5991-06-73")</f>
        <v>5991-06-73</v>
      </c>
      <c r="P568" t="str">
        <f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569" spans="1:16" x14ac:dyDescent="0.25">
      <c r="A569" t="str">
        <f t="shared" si="191"/>
        <v>10</v>
      </c>
      <c r="B569" t="str">
        <f t="shared" si="192"/>
        <v>21</v>
      </c>
      <c r="C569" s="1">
        <v>45972</v>
      </c>
      <c r="D569" t="str">
        <f>CLEAN("5175-00-70")</f>
        <v>5175-00-70</v>
      </c>
      <c r="E569" t="str">
        <f>CLEAN("206  ")</f>
        <v xml:space="preserve">206  </v>
      </c>
      <c r="F569" t="str">
        <f>CLEAN("$2,000,000 - $2,999,999  ")</f>
        <v xml:space="preserve">$2,000,000 - $2,999,999  </v>
      </c>
      <c r="G569" t="str">
        <f>CLEAN("LET")</f>
        <v>LET</v>
      </c>
      <c r="H569" t="str">
        <f>CLEAN("LET CONSTRUCTION         ")</f>
        <v xml:space="preserve">LET CONSTRUCTION         </v>
      </c>
      <c r="I569" t="str">
        <f>CLEAN("CONST OPS/RECONSTRUCTION           ")</f>
        <v xml:space="preserve">CONST OPS/RECONSTRUCTION           </v>
      </c>
      <c r="J569" t="str">
        <f>CLEAN("CTH G  ")</f>
        <v xml:space="preserve">CTH G  </v>
      </c>
      <c r="K569" t="str">
        <f>CLEAN("LAFAYETTE                     ")</f>
        <v xml:space="preserve">LAFAYETTE                     </v>
      </c>
      <c r="L569" t="str">
        <f>CLEAN("VILLAGE OF BELMONT, CTH G          ")</f>
        <v xml:space="preserve">VILLAGE OF BELMONT, CTH G          </v>
      </c>
      <c r="M569" t="str">
        <f>CLEAN("STH 126 TO HAZEL SREET             ")</f>
        <v xml:space="preserve">STH 126 TO HAZEL SREET             </v>
      </c>
      <c r="N569">
        <v>0.20699999999999999</v>
      </c>
      <c r="O569" t="str">
        <f>CLEAN("          ")</f>
        <v xml:space="preserve">          </v>
      </c>
      <c r="P569" t="str">
        <f>CLEAN("STP RURAL                                                                                           ")</f>
        <v xml:space="preserve">STP RURAL                                                                                           </v>
      </c>
    </row>
    <row r="570" spans="1:16" x14ac:dyDescent="0.25">
      <c r="A570" t="str">
        <f t="shared" si="191"/>
        <v>10</v>
      </c>
      <c r="B570" t="str">
        <f t="shared" si="192"/>
        <v>21</v>
      </c>
      <c r="C570" s="1">
        <v>46126</v>
      </c>
      <c r="D570" t="str">
        <f>CLEAN("5180-00-62")</f>
        <v>5180-00-62</v>
      </c>
      <c r="E570" t="str">
        <f t="shared" ref="E570:E586" si="194">CLEAN("303  ")</f>
        <v xml:space="preserve">303  </v>
      </c>
      <c r="F570" t="str">
        <f>CLEAN("$1,000,000 - $1,999,999  ")</f>
        <v xml:space="preserve">$1,000,000 - $1,999,999  </v>
      </c>
      <c r="G570" t="str">
        <f>CLEAN("LET")</f>
        <v>LET</v>
      </c>
      <c r="H570" t="str">
        <f>CLEAN("LET CONSTRUCTION         ")</f>
        <v xml:space="preserve">LET CONSTRUCTION         </v>
      </c>
      <c r="I570" t="str">
        <f>CLEAN("CONST/MILL &amp; O'LAY/B-12-26/RSRF    ")</f>
        <v xml:space="preserve">CONST/MILL &amp; O'LAY/B-12-26/RSRF    </v>
      </c>
      <c r="J570" t="str">
        <f>CLEAN("STH 060")</f>
        <v>STH 060</v>
      </c>
      <c r="K570" t="str">
        <f>CLEAN("CRAWFORD                      ")</f>
        <v xml:space="preserve">CRAWFORD                      </v>
      </c>
      <c r="L570" t="str">
        <f>CLEAN("BRIDGEPORT - BOSCOBEL              ")</f>
        <v xml:space="preserve">BRIDGEPORT - BOSCOBEL              </v>
      </c>
      <c r="M570" t="str">
        <f>CLEAN("USH 18 TO E JCT OLD HWY 60         ")</f>
        <v xml:space="preserve">USH 18 TO E JCT OLD HWY 60         </v>
      </c>
      <c r="N570">
        <v>1.98</v>
      </c>
      <c r="O570" t="str">
        <f>CLEAN("          ")</f>
        <v xml:space="preserve">          </v>
      </c>
      <c r="P570" t="str">
        <f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571" spans="1:16" x14ac:dyDescent="0.25">
      <c r="A571" t="str">
        <f t="shared" si="191"/>
        <v>10</v>
      </c>
      <c r="B571" t="str">
        <f t="shared" si="192"/>
        <v>21</v>
      </c>
      <c r="C571" s="1">
        <v>45894</v>
      </c>
      <c r="D571" t="str">
        <f>CLEAN("5190-07-63")</f>
        <v>5190-07-63</v>
      </c>
      <c r="E571" t="str">
        <f t="shared" si="194"/>
        <v xml:space="preserve">303  </v>
      </c>
      <c r="F571" t="str">
        <f>CLEAN("$100,000-$249,999        ")</f>
        <v xml:space="preserve">$100,000-$249,999        </v>
      </c>
      <c r="G571" t="str">
        <f>CLEAN("LFA")</f>
        <v>LFA</v>
      </c>
      <c r="H571" t="str">
        <f>CLEAN("NONLET CONSTR/REAL ESTATE")</f>
        <v>NONLET CONSTR/REAL ESTATE</v>
      </c>
      <c r="I571" t="str">
        <f>CLEAN("LFA/ PSRS30                        ")</f>
        <v xml:space="preserve">LFA/ PSRS30                        </v>
      </c>
      <c r="J571" t="str">
        <f>CLEAN("STH 060")</f>
        <v>STH 060</v>
      </c>
      <c r="K571" t="str">
        <f>CLEAN("RICHLAND                      ")</f>
        <v xml:space="preserve">RICHLAND                      </v>
      </c>
      <c r="L571" t="str">
        <f>CLEAN("BOSCOBEL - GOTHAM                  ")</f>
        <v xml:space="preserve">BOSCOBEL - GOTHAM                  </v>
      </c>
      <c r="M571" t="str">
        <f>CLEAN("STH 80 TO USH 14                   ")</f>
        <v xml:space="preserve">STH 80 TO USH 14                   </v>
      </c>
      <c r="N571">
        <v>8.2100000000000009</v>
      </c>
      <c r="O571" t="str">
        <f>CLEAN("          ")</f>
        <v xml:space="preserve">          </v>
      </c>
      <c r="P571" t="str">
        <f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572" spans="1:16" x14ac:dyDescent="0.25">
      <c r="A572" t="str">
        <f t="shared" si="191"/>
        <v>10</v>
      </c>
      <c r="B572" t="str">
        <f t="shared" si="192"/>
        <v>21</v>
      </c>
      <c r="C572" s="1">
        <v>46126</v>
      </c>
      <c r="D572" t="str">
        <f>CLEAN("5215-03-61")</f>
        <v>5215-03-61</v>
      </c>
      <c r="E572" t="str">
        <f t="shared" si="194"/>
        <v xml:space="preserve">303  </v>
      </c>
      <c r="F572" t="str">
        <f>CLEAN("$750,000 - $999,999      ")</f>
        <v xml:space="preserve">$750,000 - $999,999      </v>
      </c>
      <c r="G572" t="str">
        <f t="shared" ref="G572:G578" si="195">CLEAN("LET")</f>
        <v>LET</v>
      </c>
      <c r="H572" t="str">
        <f t="shared" ref="H572:H578" si="196">CLEAN("LET CONSTRUCTION         ")</f>
        <v xml:space="preserve">LET CONSTRUCTION         </v>
      </c>
      <c r="I572" t="str">
        <f>CLEAN("CONST/MILL &amp; O'LAY/RSRF            ")</f>
        <v xml:space="preserve">CONST/MILL &amp; O'LAY/RSRF            </v>
      </c>
      <c r="J572" t="str">
        <f>CLEAN("STH 081")</f>
        <v>STH 081</v>
      </c>
      <c r="K572" t="str">
        <f>CLEAN("GRANT                         ")</f>
        <v xml:space="preserve">GRANT                         </v>
      </c>
      <c r="L572" t="str">
        <f>CLEAN("CASSVILLE - LANCASTER              ")</f>
        <v xml:space="preserve">CASSVILLE - LANCASTER              </v>
      </c>
      <c r="M572" t="str">
        <f>CLEAN("SCHOOL STREET TO CTH Y             ")</f>
        <v xml:space="preserve">SCHOOL STREET TO CTH Y             </v>
      </c>
      <c r="N572">
        <v>2.3530000000000002</v>
      </c>
      <c r="O572" t="str">
        <f>CLEAN("          ")</f>
        <v xml:space="preserve">          </v>
      </c>
      <c r="P572" t="str">
        <f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573" spans="1:16" x14ac:dyDescent="0.25">
      <c r="A573" t="str">
        <f t="shared" si="191"/>
        <v>10</v>
      </c>
      <c r="B573" t="str">
        <f t="shared" si="192"/>
        <v>21</v>
      </c>
      <c r="C573" s="1">
        <v>46000</v>
      </c>
      <c r="D573" t="str">
        <f>CLEAN("5255-01-74")</f>
        <v>5255-01-74</v>
      </c>
      <c r="E573" t="str">
        <f t="shared" si="194"/>
        <v xml:space="preserve">303  </v>
      </c>
      <c r="F573" t="str">
        <f>CLEAN("$250,000 - $499,999      ")</f>
        <v xml:space="preserve">$250,000 - $499,999      </v>
      </c>
      <c r="G573" t="str">
        <f t="shared" si="195"/>
        <v>LET</v>
      </c>
      <c r="H573" t="str">
        <f t="shared" si="196"/>
        <v xml:space="preserve">LET CONSTRUCTION         </v>
      </c>
      <c r="I573" t="str">
        <f>CLEAN("CONST/ROAD DIET/PSRS10             ")</f>
        <v xml:space="preserve">CONST/ROAD DIET/PSRS10             </v>
      </c>
      <c r="J573" t="str">
        <f>CLEAN("STH 023")</f>
        <v>STH 023</v>
      </c>
      <c r="K573" t="str">
        <f>CLEAN("IOWA                          ")</f>
        <v xml:space="preserve">IOWA                          </v>
      </c>
      <c r="L573" t="str">
        <f>CLEAN("MINERAL POINT - SPRING GREEN       ")</f>
        <v xml:space="preserve">MINERAL POINT - SPRING GREEN       </v>
      </c>
      <c r="M573" t="str">
        <f>CLEAN("0.04 MI SOUTH OF PINE ST TO ROWE RD")</f>
        <v>0.04 MI SOUTH OF PINE ST TO ROWE RD</v>
      </c>
      <c r="N573">
        <v>0.872</v>
      </c>
      <c r="O573" t="str">
        <f>CLEAN("1662-00-77")</f>
        <v>1662-00-77</v>
      </c>
      <c r="P573" t="str">
        <f>CLEAN("SAFETY (REGULAR HSIP)                                                                               ")</f>
        <v xml:space="preserve">SAFETY (REGULAR HSIP)                                                                               </v>
      </c>
    </row>
    <row r="574" spans="1:16" x14ac:dyDescent="0.25">
      <c r="A574" t="str">
        <f t="shared" si="191"/>
        <v>10</v>
      </c>
      <c r="B574" t="str">
        <f t="shared" si="192"/>
        <v>21</v>
      </c>
      <c r="C574" s="1">
        <v>46000</v>
      </c>
      <c r="D574" t="str">
        <f>CLEAN("5255-01-74")</f>
        <v>5255-01-74</v>
      </c>
      <c r="E574" t="str">
        <f t="shared" si="194"/>
        <v xml:space="preserve">303  </v>
      </c>
      <c r="F574" t="str">
        <f>CLEAN("$250,000 - $499,999      ")</f>
        <v xml:space="preserve">$250,000 - $499,999      </v>
      </c>
      <c r="G574" t="str">
        <f t="shared" si="195"/>
        <v>LET</v>
      </c>
      <c r="H574" t="str">
        <f t="shared" si="196"/>
        <v xml:space="preserve">LET CONSTRUCTION         </v>
      </c>
      <c r="I574" t="str">
        <f>CLEAN("CONST/ROAD DIET/PSRS10             ")</f>
        <v xml:space="preserve">CONST/ROAD DIET/PSRS10             </v>
      </c>
      <c r="J574" t="str">
        <f>CLEAN("STH 023")</f>
        <v>STH 023</v>
      </c>
      <c r="K574" t="str">
        <f>CLEAN("IOWA                          ")</f>
        <v xml:space="preserve">IOWA                          </v>
      </c>
      <c r="L574" t="str">
        <f>CLEAN("MINERAL POINT - SPRING GREEN       ")</f>
        <v xml:space="preserve">MINERAL POINT - SPRING GREEN       </v>
      </c>
      <c r="M574" t="str">
        <f>CLEAN("0.04 MI SOUTH OF PINE ST TO ROWE RD")</f>
        <v>0.04 MI SOUTH OF PINE ST TO ROWE RD</v>
      </c>
      <c r="N574">
        <v>0.872</v>
      </c>
      <c r="O574" t="str">
        <f>CLEAN("1662-00-77")</f>
        <v>1662-00-77</v>
      </c>
      <c r="P574" t="str">
        <f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575" spans="1:16" x14ac:dyDescent="0.25">
      <c r="A575" t="str">
        <f t="shared" si="191"/>
        <v>10</v>
      </c>
      <c r="B575" t="str">
        <f t="shared" si="192"/>
        <v>21</v>
      </c>
      <c r="C575" s="1">
        <v>46000</v>
      </c>
      <c r="D575" t="str">
        <f>CLEAN("5255-01-74")</f>
        <v>5255-01-74</v>
      </c>
      <c r="E575" t="str">
        <f t="shared" si="194"/>
        <v xml:space="preserve">303  </v>
      </c>
      <c r="F575" t="str">
        <f>CLEAN("$250,000 - $499,999      ")</f>
        <v xml:space="preserve">$250,000 - $499,999      </v>
      </c>
      <c r="G575" t="str">
        <f t="shared" si="195"/>
        <v>LET</v>
      </c>
      <c r="H575" t="str">
        <f t="shared" si="196"/>
        <v xml:space="preserve">LET CONSTRUCTION         </v>
      </c>
      <c r="I575" t="str">
        <f>CLEAN("CONST/ROAD DIET/PSRS10             ")</f>
        <v xml:space="preserve">CONST/ROAD DIET/PSRS10             </v>
      </c>
      <c r="J575" t="str">
        <f>CLEAN("STH 023")</f>
        <v>STH 023</v>
      </c>
      <c r="K575" t="str">
        <f>CLEAN("IOWA                          ")</f>
        <v xml:space="preserve">IOWA                          </v>
      </c>
      <c r="L575" t="str">
        <f>CLEAN("MINERAL POINT - SPRING GREEN       ")</f>
        <v xml:space="preserve">MINERAL POINT - SPRING GREEN       </v>
      </c>
      <c r="M575" t="str">
        <f>CLEAN("0.04 MI SOUTH OF PINE ST TO ROWE RD")</f>
        <v>0.04 MI SOUTH OF PINE ST TO ROWE RD</v>
      </c>
      <c r="N575">
        <v>0.872</v>
      </c>
      <c r="O575" t="str">
        <f>CLEAN("1662-00-78")</f>
        <v>1662-00-78</v>
      </c>
      <c r="P575" t="str">
        <f>CLEAN("SAFETY (REGULAR HSIP)                                                                               ")</f>
        <v xml:space="preserve">SAFETY (REGULAR HSIP)                                                                               </v>
      </c>
    </row>
    <row r="576" spans="1:16" x14ac:dyDescent="0.25">
      <c r="A576" t="str">
        <f t="shared" si="191"/>
        <v>10</v>
      </c>
      <c r="B576" t="str">
        <f t="shared" si="192"/>
        <v>21</v>
      </c>
      <c r="C576" s="1">
        <v>46000</v>
      </c>
      <c r="D576" t="str">
        <f>CLEAN("5255-01-74")</f>
        <v>5255-01-74</v>
      </c>
      <c r="E576" t="str">
        <f t="shared" si="194"/>
        <v xml:space="preserve">303  </v>
      </c>
      <c r="F576" t="str">
        <f>CLEAN("$250,000 - $499,999      ")</f>
        <v xml:space="preserve">$250,000 - $499,999      </v>
      </c>
      <c r="G576" t="str">
        <f t="shared" si="195"/>
        <v>LET</v>
      </c>
      <c r="H576" t="str">
        <f t="shared" si="196"/>
        <v xml:space="preserve">LET CONSTRUCTION         </v>
      </c>
      <c r="I576" t="str">
        <f>CLEAN("CONST/ROAD DIET/PSRS10             ")</f>
        <v xml:space="preserve">CONST/ROAD DIET/PSRS10             </v>
      </c>
      <c r="J576" t="str">
        <f>CLEAN("STH 023")</f>
        <v>STH 023</v>
      </c>
      <c r="K576" t="str">
        <f>CLEAN("IOWA                          ")</f>
        <v xml:space="preserve">IOWA                          </v>
      </c>
      <c r="L576" t="str">
        <f>CLEAN("MINERAL POINT - SPRING GREEN       ")</f>
        <v xml:space="preserve">MINERAL POINT - SPRING GREEN       </v>
      </c>
      <c r="M576" t="str">
        <f>CLEAN("0.04 MI SOUTH OF PINE ST TO ROWE RD")</f>
        <v>0.04 MI SOUTH OF PINE ST TO ROWE RD</v>
      </c>
      <c r="N576">
        <v>0.872</v>
      </c>
      <c r="O576" t="str">
        <f>CLEAN("1662-00-78")</f>
        <v>1662-00-78</v>
      </c>
      <c r="P576" t="str">
        <f t="shared" ref="P576:P584" si="197"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577" spans="1:16" x14ac:dyDescent="0.25">
      <c r="A577" t="str">
        <f t="shared" si="191"/>
        <v>10</v>
      </c>
      <c r="B577" t="str">
        <f t="shared" si="192"/>
        <v>21</v>
      </c>
      <c r="C577" s="1">
        <v>46000</v>
      </c>
      <c r="D577" t="str">
        <f>CLEAN("5280-03-71")</f>
        <v>5280-03-71</v>
      </c>
      <c r="E577" t="str">
        <f t="shared" si="194"/>
        <v xml:space="preserve">303  </v>
      </c>
      <c r="F577" t="str">
        <f>CLEAN("$2,000,000 - $2,999,999  ")</f>
        <v xml:space="preserve">$2,000,000 - $2,999,999  </v>
      </c>
      <c r="G577" t="str">
        <f t="shared" si="195"/>
        <v>LET</v>
      </c>
      <c r="H577" t="str">
        <f t="shared" si="196"/>
        <v xml:space="preserve">LET CONSTRUCTION         </v>
      </c>
      <c r="I577" t="str">
        <f>CLEAN("CONST/PAV'T REPLACEMENT/PVRPLA     ")</f>
        <v xml:space="preserve">CONST/PAV'T REPLACEMENT/PVRPLA     </v>
      </c>
      <c r="J577" t="str">
        <f>CLEAN("STH 113")</f>
        <v>STH 113</v>
      </c>
      <c r="K577" t="str">
        <f>CLEAN("DANE                          ")</f>
        <v xml:space="preserve">DANE                          </v>
      </c>
      <c r="L577" t="str">
        <f>CLEAN("MADISON - LODI                     ")</f>
        <v xml:space="preserve">MADISON - LODI                     </v>
      </c>
      <c r="M577" t="str">
        <f>CLEAN("CTH V TO CTH P                     ")</f>
        <v xml:space="preserve">CTH V TO CTH P                     </v>
      </c>
      <c r="N577">
        <v>2.956</v>
      </c>
      <c r="O577" t="str">
        <f>CLEAN("5280-03-72")</f>
        <v>5280-03-72</v>
      </c>
      <c r="P577" t="str">
        <f t="shared" si="197"/>
        <v xml:space="preserve">STATE 3R                                                                                            </v>
      </c>
    </row>
    <row r="578" spans="1:16" x14ac:dyDescent="0.25">
      <c r="A578" t="str">
        <f t="shared" si="191"/>
        <v>10</v>
      </c>
      <c r="B578" t="str">
        <f t="shared" si="192"/>
        <v>21</v>
      </c>
      <c r="C578" s="1">
        <v>46000</v>
      </c>
      <c r="D578" t="str">
        <f>CLEAN("5280-03-72")</f>
        <v>5280-03-72</v>
      </c>
      <c r="E578" t="str">
        <f t="shared" si="194"/>
        <v xml:space="preserve">303  </v>
      </c>
      <c r="F578" t="str">
        <f>CLEAN("$1,000,000 - $1,999,999  ")</f>
        <v xml:space="preserve">$1,000,000 - $1,999,999  </v>
      </c>
      <c r="G578" t="str">
        <f t="shared" si="195"/>
        <v>LET</v>
      </c>
      <c r="H578" t="str">
        <f t="shared" si="196"/>
        <v xml:space="preserve">LET CONSTRUCTION         </v>
      </c>
      <c r="I578" t="str">
        <f>CLEAN("CONST/WATER &amp; SANITARY SEWER/PVRPLA")</f>
        <v>CONST/WATER &amp; SANITARY SEWER/PVRPLA</v>
      </c>
      <c r="J578" t="str">
        <f>CLEAN("STH 113")</f>
        <v>STH 113</v>
      </c>
      <c r="K578" t="str">
        <f>CLEAN("DANE                          ")</f>
        <v xml:space="preserve">DANE                          </v>
      </c>
      <c r="L578" t="str">
        <f>CLEAN("MADISON - LODI                     ")</f>
        <v xml:space="preserve">MADISON - LODI                     </v>
      </c>
      <c r="M578" t="str">
        <f>CLEAN("CTH V TO CTH P                     ")</f>
        <v xml:space="preserve">CTH V TO CTH P                     </v>
      </c>
      <c r="N578">
        <v>0.75900000000000001</v>
      </c>
      <c r="O578" t="str">
        <f>CLEAN("5280-03-71")</f>
        <v>5280-03-71</v>
      </c>
      <c r="P578" t="str">
        <f t="shared" si="197"/>
        <v xml:space="preserve">STATE 3R                                                                                            </v>
      </c>
    </row>
    <row r="579" spans="1:16" x14ac:dyDescent="0.25">
      <c r="A579" t="str">
        <f t="shared" si="191"/>
        <v>10</v>
      </c>
      <c r="B579" t="str">
        <f t="shared" si="192"/>
        <v>21</v>
      </c>
      <c r="C579" s="1">
        <v>45894</v>
      </c>
      <c r="D579" t="str">
        <f>CLEAN("5290-02-41")</f>
        <v>5290-02-41</v>
      </c>
      <c r="E579" t="str">
        <f t="shared" si="194"/>
        <v xml:space="preserve">303  </v>
      </c>
      <c r="F579" t="str">
        <f>CLEAN("$0 - $99,999             ")</f>
        <v xml:space="preserve">$0 - $99,999             </v>
      </c>
      <c r="G579" t="str">
        <f>CLEAN("UTL")</f>
        <v>UTL</v>
      </c>
      <c r="H579" t="str">
        <f>CLEAN("NONLET CONSTR/REAL ESTATE")</f>
        <v>NONLET CONSTR/REAL ESTATE</v>
      </c>
      <c r="I579" t="str">
        <f>CLEAN("UTL/SPECTRUM UTL 205/RSRF          ")</f>
        <v xml:space="preserve">UTL/SPECTRUM UTL 205/RSRF          </v>
      </c>
      <c r="J579" t="str">
        <f>CLEAN("STH 019")</f>
        <v>STH 019</v>
      </c>
      <c r="K579" t="str">
        <f>CLEAN("DANE                          ")</f>
        <v xml:space="preserve">DANE                          </v>
      </c>
      <c r="L579" t="str">
        <f>CLEAN("MAZOMANIE - SUN PRAIRIE            ")</f>
        <v xml:space="preserve">MAZOMANIE - SUN PRAIRIE            </v>
      </c>
      <c r="M579" t="str">
        <f>CLEAN("DIVISION STREET TO RIVER ROAD      ")</f>
        <v xml:space="preserve">DIVISION STREET TO RIVER ROAD      </v>
      </c>
      <c r="N579">
        <v>3.5310000000000001</v>
      </c>
      <c r="O579" t="str">
        <f t="shared" ref="O579:O584" si="198">CLEAN("          ")</f>
        <v xml:space="preserve">          </v>
      </c>
      <c r="P579" t="str">
        <f t="shared" si="197"/>
        <v xml:space="preserve">STATE 3R                                                                                            </v>
      </c>
    </row>
    <row r="580" spans="1:16" x14ac:dyDescent="0.25">
      <c r="A580" t="str">
        <f t="shared" si="191"/>
        <v>10</v>
      </c>
      <c r="B580" t="str">
        <f t="shared" si="192"/>
        <v>21</v>
      </c>
      <c r="C580" s="1">
        <v>46000</v>
      </c>
      <c r="D580" t="str">
        <f>CLEAN("5290-02-71")</f>
        <v>5290-02-71</v>
      </c>
      <c r="E580" t="str">
        <f t="shared" si="194"/>
        <v xml:space="preserve">303  </v>
      </c>
      <c r="F580" t="str">
        <f>CLEAN("$7,000,000 - $7,999,999  ")</f>
        <v xml:space="preserve">$7,000,000 - $7,999,999  </v>
      </c>
      <c r="G580" t="str">
        <f>CLEAN("LET")</f>
        <v>LET</v>
      </c>
      <c r="H580" t="str">
        <f>CLEAN("LET CONSTRUCTION         ")</f>
        <v xml:space="preserve">LET CONSTRUCTION         </v>
      </c>
      <c r="I580" t="str">
        <f>CLEAN("CONST/MILL &amp; O'LAY/B-13-188/RSRF   ")</f>
        <v xml:space="preserve">CONST/MILL &amp; O'LAY/B-13-188/RSRF   </v>
      </c>
      <c r="J580" t="str">
        <f>CLEAN("STH 019")</f>
        <v>STH 019</v>
      </c>
      <c r="K580" t="str">
        <f>CLEAN("DANE                          ")</f>
        <v xml:space="preserve">DANE                          </v>
      </c>
      <c r="L580" t="str">
        <f>CLEAN("MAZOMANIE - SUN PRAIRIE            ")</f>
        <v xml:space="preserve">MAZOMANIE - SUN PRAIRIE            </v>
      </c>
      <c r="M580" t="str">
        <f>CLEAN("DIVISION STREET TO RIVER ROAD      ")</f>
        <v xml:space="preserve">DIVISION STREET TO RIVER ROAD      </v>
      </c>
      <c r="N580">
        <v>3.3849999999999998</v>
      </c>
      <c r="O580" t="str">
        <f t="shared" si="198"/>
        <v xml:space="preserve">          </v>
      </c>
      <c r="P580" t="str">
        <f t="shared" si="197"/>
        <v xml:space="preserve">STATE 3R                                                                                            </v>
      </c>
    </row>
    <row r="581" spans="1:16" x14ac:dyDescent="0.25">
      <c r="A581" t="str">
        <f t="shared" si="191"/>
        <v>10</v>
      </c>
      <c r="B581" t="str">
        <f t="shared" si="192"/>
        <v>21</v>
      </c>
      <c r="C581" s="1">
        <v>46228</v>
      </c>
      <c r="D581" t="str">
        <f>CLEAN("5340-01-23")</f>
        <v>5340-01-23</v>
      </c>
      <c r="E581" t="str">
        <f t="shared" si="194"/>
        <v xml:space="preserve">303  </v>
      </c>
      <c r="F581" t="str">
        <f>CLEAN("$0 - $99,999             ")</f>
        <v xml:space="preserve">$0 - $99,999             </v>
      </c>
      <c r="G581" t="str">
        <f>CLEAN("R/E")</f>
        <v>R/E</v>
      </c>
      <c r="H581" t="str">
        <f>CLEAN("NONLET CONSTR/REAL ESTATE")</f>
        <v>NONLET CONSTR/REAL ESTATE</v>
      </c>
      <c r="I581" t="str">
        <f>CLEAN("R/E OPS/CONST/RIIGHT IN/OUT/MISC   ")</f>
        <v xml:space="preserve">R/E OPS/CONST/RIIGHT IN/OUT/MISC   </v>
      </c>
      <c r="J581" t="str">
        <f>CLEAN("STH 081")</f>
        <v>STH 081</v>
      </c>
      <c r="K581" t="str">
        <f t="shared" ref="K581:K586" si="199">CLEAN("ROCK                          ")</f>
        <v xml:space="preserve">ROCK                          </v>
      </c>
      <c r="L581" t="str">
        <f>CLEAN("C BELOIT, WHITE AVENUE             ")</f>
        <v xml:space="preserve">C BELOIT, WHITE AVENUE             </v>
      </c>
      <c r="M581" t="str">
        <f>CLEAN("WISCONSIN AVENUE INTERSECTION      ")</f>
        <v xml:space="preserve">WISCONSIN AVENUE INTERSECTION      </v>
      </c>
      <c r="N581">
        <v>0.105</v>
      </c>
      <c r="O581" t="str">
        <f t="shared" si="198"/>
        <v xml:space="preserve">          </v>
      </c>
      <c r="P581" t="str">
        <f t="shared" si="197"/>
        <v xml:space="preserve">STATE 3R                                                                                            </v>
      </c>
    </row>
    <row r="582" spans="1:16" x14ac:dyDescent="0.25">
      <c r="A582" t="str">
        <f t="shared" si="191"/>
        <v>10</v>
      </c>
      <c r="B582" t="str">
        <f t="shared" si="192"/>
        <v>21</v>
      </c>
      <c r="C582" s="1">
        <v>45955</v>
      </c>
      <c r="D582" t="str">
        <f>CLEAN("5340-01-24")</f>
        <v>5340-01-24</v>
      </c>
      <c r="E582" t="str">
        <f t="shared" si="194"/>
        <v xml:space="preserve">303  </v>
      </c>
      <c r="F582" t="str">
        <f>CLEAN("$250,000 - $499,999      ")</f>
        <v xml:space="preserve">$250,000 - $499,999      </v>
      </c>
      <c r="G582" t="str">
        <f>CLEAN("R/E")</f>
        <v>R/E</v>
      </c>
      <c r="H582" t="str">
        <f>CLEAN("NONLET CONSTR/REAL ESTATE")</f>
        <v>NONLET CONSTR/REAL ESTATE</v>
      </c>
      <c r="I582" t="str">
        <f>CLEAN("R/E OPERATIONS/RECST               ")</f>
        <v xml:space="preserve">R/E OPERATIONS/RECST               </v>
      </c>
      <c r="J582" t="str">
        <f>CLEAN("STH 081")</f>
        <v>STH 081</v>
      </c>
      <c r="K582" t="str">
        <f t="shared" si="199"/>
        <v xml:space="preserve">ROCK                          </v>
      </c>
      <c r="L582" t="str">
        <f>CLEAN("C BELOIT, WHITE AVENUE             ")</f>
        <v xml:space="preserve">C BELOIT, WHITE AVENUE             </v>
      </c>
      <c r="M582" t="str">
        <f>CLEAN("MILWAUKEE ROAD INTERSECTION        ")</f>
        <v xml:space="preserve">MILWAUKEE ROAD INTERSECTION        </v>
      </c>
      <c r="N582">
        <v>0.191</v>
      </c>
      <c r="O582" t="str">
        <f t="shared" si="198"/>
        <v xml:space="preserve">          </v>
      </c>
      <c r="P582" t="str">
        <f t="shared" si="197"/>
        <v xml:space="preserve">STATE 3R                                                                                            </v>
      </c>
    </row>
    <row r="583" spans="1:16" x14ac:dyDescent="0.25">
      <c r="A583" t="str">
        <f t="shared" si="191"/>
        <v>10</v>
      </c>
      <c r="B583" t="str">
        <f t="shared" si="192"/>
        <v>21</v>
      </c>
      <c r="C583" s="1">
        <v>45986</v>
      </c>
      <c r="D583" t="str">
        <f>CLEAN("5350-02-51")</f>
        <v>5350-02-51</v>
      </c>
      <c r="E583" t="str">
        <f t="shared" si="194"/>
        <v xml:space="preserve">303  </v>
      </c>
      <c r="F583" t="str">
        <f>CLEAN("$250,000 - $499,999      ")</f>
        <v xml:space="preserve">$250,000 - $499,999      </v>
      </c>
      <c r="G583" t="str">
        <f>CLEAN("R/R")</f>
        <v>R/R</v>
      </c>
      <c r="H583" t="str">
        <f>CLEAN("NONLET CONSTR/REAL ESTATE")</f>
        <v>NONLET CONSTR/REAL ESTATE</v>
      </c>
      <c r="I583" t="str">
        <f>CLEAN("RR OPS/PREEMPTION WORK (SIGNALS)   ")</f>
        <v xml:space="preserve">RR OPS/PREEMPTION WORK (SIGNALS)   </v>
      </c>
      <c r="J583" t="str">
        <f>CLEAN("USH 051")</f>
        <v>USH 051</v>
      </c>
      <c r="K583" t="str">
        <f t="shared" si="199"/>
        <v xml:space="preserve">ROCK                          </v>
      </c>
      <c r="L583" t="str">
        <f>CLEAN("C JANESVILLE, CENTER AVENUE        ")</f>
        <v xml:space="preserve">C JANESVILLE, CENTER AVENUE        </v>
      </c>
      <c r="M583" t="str">
        <f>CLEAN("UNION PACIFIC RR XING 177418U      ")</f>
        <v xml:space="preserve">UNION PACIFIC RR XING 177418U      </v>
      </c>
      <c r="N583">
        <v>0</v>
      </c>
      <c r="O583" t="str">
        <f t="shared" si="198"/>
        <v xml:space="preserve">          </v>
      </c>
      <c r="P583" t="str">
        <f t="shared" si="197"/>
        <v xml:space="preserve">STATE 3R                                                                                            </v>
      </c>
    </row>
    <row r="584" spans="1:16" x14ac:dyDescent="0.25">
      <c r="A584" t="str">
        <f t="shared" si="191"/>
        <v>10</v>
      </c>
      <c r="B584" t="str">
        <f t="shared" si="192"/>
        <v>21</v>
      </c>
      <c r="C584" s="1">
        <v>45986</v>
      </c>
      <c r="D584" t="str">
        <f>CLEAN("5350-02-52")</f>
        <v>5350-02-52</v>
      </c>
      <c r="E584" t="str">
        <f t="shared" si="194"/>
        <v xml:space="preserve">303  </v>
      </c>
      <c r="F584" t="str">
        <f>CLEAN("$500,000 - $749,999      ")</f>
        <v xml:space="preserve">$500,000 - $749,999      </v>
      </c>
      <c r="G584" t="str">
        <f>CLEAN("R/R")</f>
        <v>R/R</v>
      </c>
      <c r="H584" t="str">
        <f>CLEAN("NONLET CONSTR/REAL ESTATE")</f>
        <v>NONLET CONSTR/REAL ESTATE</v>
      </c>
      <c r="I584" t="str">
        <f>CLEAN("RR/ CROSSING SIGNALS/ PVRPLA       ")</f>
        <v xml:space="preserve">RR/ CROSSING SIGNALS/ PVRPLA       </v>
      </c>
      <c r="J584" t="str">
        <f>CLEAN("USH 051")</f>
        <v>USH 051</v>
      </c>
      <c r="K584" t="str">
        <f t="shared" si="199"/>
        <v xml:space="preserve">ROCK                          </v>
      </c>
      <c r="L584" t="str">
        <f>CLEAN("C JANESVILLE, CENTER AVENUE        ")</f>
        <v xml:space="preserve">C JANESVILLE, CENTER AVENUE        </v>
      </c>
      <c r="M584" t="str">
        <f>CLEAN("UNION PACIFIC RR XING 177423R      ")</f>
        <v xml:space="preserve">UNION PACIFIC RR XING 177423R      </v>
      </c>
      <c r="N584">
        <v>0</v>
      </c>
      <c r="O584" t="str">
        <f t="shared" si="198"/>
        <v xml:space="preserve">          </v>
      </c>
      <c r="P584" t="str">
        <f t="shared" si="197"/>
        <v xml:space="preserve">STATE 3R                                                                                            </v>
      </c>
    </row>
    <row r="585" spans="1:16" x14ac:dyDescent="0.25">
      <c r="A585" t="str">
        <f t="shared" si="191"/>
        <v>10</v>
      </c>
      <c r="B585" t="str">
        <f t="shared" si="192"/>
        <v>21</v>
      </c>
      <c r="C585" s="1">
        <v>46035</v>
      </c>
      <c r="D585" t="str">
        <f>CLEAN("5350-02-65")</f>
        <v>5350-02-65</v>
      </c>
      <c r="E585" t="str">
        <f t="shared" si="194"/>
        <v xml:space="preserve">303  </v>
      </c>
      <c r="F585" t="str">
        <f>CLEAN("$100,000-$249,999        ")</f>
        <v xml:space="preserve">$100,000-$249,999        </v>
      </c>
      <c r="G585" t="str">
        <f>CLEAN("LET")</f>
        <v>LET</v>
      </c>
      <c r="H585" t="str">
        <f>CLEAN("LET CONSTRUCTION         ")</f>
        <v xml:space="preserve">LET CONSTRUCTION         </v>
      </c>
      <c r="I585" t="str">
        <f>CLEAN("CONSTRUCT/ BRRHB                   ")</f>
        <v xml:space="preserve">CONSTRUCT/ BRRHB                   </v>
      </c>
      <c r="J585" t="str">
        <f>CLEAN("USH 051")</f>
        <v>USH 051</v>
      </c>
      <c r="K585" t="str">
        <f t="shared" si="199"/>
        <v xml:space="preserve">ROCK                          </v>
      </c>
      <c r="L585" t="str">
        <f>CLEAN("C JANESVILLE, CENTER AVENUE        ")</f>
        <v xml:space="preserve">C JANESVILLE, CENTER AVENUE        </v>
      </c>
      <c r="M585" t="str">
        <f>CLEAN("UP RR STRUCTURE B-53-135           ")</f>
        <v xml:space="preserve">UP RR STRUCTURE B-53-135           </v>
      </c>
      <c r="N585">
        <v>0.182</v>
      </c>
      <c r="O585" t="str">
        <f>CLEAN("5350-02-75")</f>
        <v>5350-02-75</v>
      </c>
      <c r="P585" t="str">
        <f>CLEAN("SHR BRIDGES                                                                                         ")</f>
        <v xml:space="preserve">SHR BRIDGES                                                                                         </v>
      </c>
    </row>
    <row r="586" spans="1:16" x14ac:dyDescent="0.25">
      <c r="A586" t="str">
        <f t="shared" si="191"/>
        <v>10</v>
      </c>
      <c r="B586" t="str">
        <f t="shared" si="192"/>
        <v>21</v>
      </c>
      <c r="C586" s="1">
        <v>46035</v>
      </c>
      <c r="D586" t="str">
        <f>CLEAN("5350-02-75")</f>
        <v>5350-02-75</v>
      </c>
      <c r="E586" t="str">
        <f t="shared" si="194"/>
        <v xml:space="preserve">303  </v>
      </c>
      <c r="F586" t="str">
        <f>CLEAN("$1,000,000 - $1,999,999  ")</f>
        <v xml:space="preserve">$1,000,000 - $1,999,999  </v>
      </c>
      <c r="G586" t="str">
        <f>CLEAN("LET")</f>
        <v>LET</v>
      </c>
      <c r="H586" t="str">
        <f>CLEAN("LET CONSTRUCTION         ")</f>
        <v xml:space="preserve">LET CONSTRUCTION         </v>
      </c>
      <c r="I586" t="str">
        <f>CLEAN("CONSTRUCT/ RSRF20                  ")</f>
        <v xml:space="preserve">CONSTRUCT/ RSRF20                  </v>
      </c>
      <c r="J586" t="str">
        <f>CLEAN("USH 051")</f>
        <v>USH 051</v>
      </c>
      <c r="K586" t="str">
        <f t="shared" si="199"/>
        <v xml:space="preserve">ROCK                          </v>
      </c>
      <c r="L586" t="str">
        <f>CLEAN("C JANESVILLE, CENTER AVENUE        ")</f>
        <v xml:space="preserve">C JANESVILLE, CENTER AVENUE        </v>
      </c>
      <c r="M586" t="str">
        <f>CLEAN("W STATE ST TO WSOR BRIDGE B-53-154 ")</f>
        <v xml:space="preserve">W STATE ST TO WSOR BRIDGE B-53-154 </v>
      </c>
      <c r="N586">
        <v>0.182</v>
      </c>
      <c r="O586" t="str">
        <f>CLEAN("5350-02-65")</f>
        <v>5350-02-65</v>
      </c>
      <c r="P586" t="str">
        <f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587" spans="1:16" x14ac:dyDescent="0.25">
      <c r="A587" t="str">
        <f t="shared" si="191"/>
        <v>10</v>
      </c>
      <c r="B587" t="str">
        <f t="shared" si="192"/>
        <v>21</v>
      </c>
      <c r="C587" s="1">
        <v>46167</v>
      </c>
      <c r="D587" t="str">
        <f>CLEAN("5365-00-73")</f>
        <v>5365-00-73</v>
      </c>
      <c r="E587" t="str">
        <f>CLEAN("290  ")</f>
        <v xml:space="preserve">290  </v>
      </c>
      <c r="F587" t="str">
        <f>CLEAN("$0 - $99,999             ")</f>
        <v xml:space="preserve">$0 - $99,999             </v>
      </c>
      <c r="G587" t="str">
        <f>CLEAN("LLC")</f>
        <v>LLC</v>
      </c>
      <c r="H587" t="str">
        <f>CLEAN("NONLET CONSTR/REAL ESTATE")</f>
        <v>NONLET CONSTR/REAL ESTATE</v>
      </c>
      <c r="I587" t="str">
        <f>CLEAN("PEDESTRAIN/BICYCLE MULTI-USE PATH  ")</f>
        <v xml:space="preserve">PEDESTRAIN/BICYCLE MULTI-USE PATH  </v>
      </c>
      <c r="J587" t="str">
        <f>CLEAN("NON HWY")</f>
        <v>NON HWY</v>
      </c>
      <c r="K587" t="str">
        <f>CLEAN("RICHLAND                      ")</f>
        <v xml:space="preserve">RICHLAND                      </v>
      </c>
      <c r="L587" t="str">
        <f>CLEAN("C RICHLAND CENTER, MULTI-USE PATH  ")</f>
        <v xml:space="preserve">C RICHLAND CENTER, MULTI-USE PATH  </v>
      </c>
      <c r="M587" t="str">
        <f>CLEAN("CTH OO TO USH 14                   ")</f>
        <v xml:space="preserve">CTH OO TO USH 14                   </v>
      </c>
      <c r="N587">
        <v>0.17</v>
      </c>
      <c r="O587" t="str">
        <f t="shared" ref="O587:O598" si="200">CLEAN("          ")</f>
        <v xml:space="preserve">          </v>
      </c>
      <c r="P587" t="str">
        <f>CLEAN("TAP &lt; 5,000                                                                                         ")</f>
        <v xml:space="preserve">TAP &lt; 5,000                                                                                         </v>
      </c>
    </row>
    <row r="588" spans="1:16" x14ac:dyDescent="0.25">
      <c r="A588" t="str">
        <f t="shared" si="191"/>
        <v>10</v>
      </c>
      <c r="B588" t="str">
        <f t="shared" si="192"/>
        <v>21</v>
      </c>
      <c r="C588" s="1">
        <v>45944</v>
      </c>
      <c r="D588" t="str">
        <f>CLEAN("5378-00-73")</f>
        <v>5378-00-73</v>
      </c>
      <c r="E588" t="str">
        <f>CLEAN("205  ")</f>
        <v xml:space="preserve">205  </v>
      </c>
      <c r="F588" t="str">
        <f>CLEAN("$500,000 - $749,999      ")</f>
        <v xml:space="preserve">$500,000 - $749,999      </v>
      </c>
      <c r="G588" t="str">
        <f>CLEAN("LET")</f>
        <v>LET</v>
      </c>
      <c r="H588" t="str">
        <f>CLEAN("LET CONSTRUCTION         ")</f>
        <v xml:space="preserve">LET CONSTRUCTION         </v>
      </c>
      <c r="I588" t="str">
        <f>CLEAN("CONST OPS/BRIDGE REPLACEMENT       ")</f>
        <v xml:space="preserve">CONST OPS/BRIDGE REPLACEMENT       </v>
      </c>
      <c r="J588" t="str">
        <f>CLEAN("LOC STR")</f>
        <v>LOC STR</v>
      </c>
      <c r="K588" t="str">
        <f>CLEAN("VERNON                        ")</f>
        <v xml:space="preserve">VERNON                        </v>
      </c>
      <c r="L588" t="str">
        <f>CLEAN("TOWN OF COON, DODSON HOLLOW ROAD   ")</f>
        <v xml:space="preserve">TOWN OF COON, DODSON HOLLOW ROAD   </v>
      </c>
      <c r="M588" t="str">
        <f>CLEAN("DODSON HOLLOW CREEK BR B-62-0270   ")</f>
        <v xml:space="preserve">DODSON HOLLOW CREEK BR B-62-0270   </v>
      </c>
      <c r="N588">
        <v>3.4000000000000002E-2</v>
      </c>
      <c r="O588" t="str">
        <f t="shared" si="200"/>
        <v xml:space="preserve">          </v>
      </c>
      <c r="P588" t="str">
        <f>CLEAN("LOCAL BRIDGES                                                                                       ")</f>
        <v xml:space="preserve">LOCAL BRIDGES                                                                                       </v>
      </c>
    </row>
    <row r="589" spans="1:16" x14ac:dyDescent="0.25">
      <c r="A589" t="str">
        <f t="shared" si="191"/>
        <v>10</v>
      </c>
      <c r="B589" t="str">
        <f t="shared" si="192"/>
        <v>21</v>
      </c>
      <c r="C589" s="1">
        <v>45972</v>
      </c>
      <c r="D589" t="str">
        <f>CLEAN("5378-00-77")</f>
        <v>5378-00-77</v>
      </c>
      <c r="E589" t="str">
        <f>CLEAN("206  ")</f>
        <v xml:space="preserve">206  </v>
      </c>
      <c r="F589" t="str">
        <f>CLEAN("$500,000 - $749,999      ")</f>
        <v xml:space="preserve">$500,000 - $749,999      </v>
      </c>
      <c r="G589" t="str">
        <f>CLEAN("LET")</f>
        <v>LET</v>
      </c>
      <c r="H589" t="str">
        <f>CLEAN("LET CONSTRUCTION         ")</f>
        <v xml:space="preserve">LET CONSTRUCTION         </v>
      </c>
      <c r="I589" t="str">
        <f>CLEAN("CONST OPS/RESURFACING              ")</f>
        <v xml:space="preserve">CONST OPS/RESURFACING              </v>
      </c>
      <c r="J589" t="str">
        <f>CLEAN("LOC STR")</f>
        <v>LOC STR</v>
      </c>
      <c r="K589" t="str">
        <f>CLEAN("VERNON                        ")</f>
        <v xml:space="preserve">VERNON                        </v>
      </c>
      <c r="L589" t="str">
        <f>CLEAN("T COON, SVEUM RIDGE ROAD           ")</f>
        <v xml:space="preserve">T COON, SVEUM RIDGE ROAD           </v>
      </c>
      <c r="M589" t="str">
        <f>CLEAN("CTH B TO OLD MILL ROAD             ")</f>
        <v xml:space="preserve">CTH B TO OLD MILL ROAD             </v>
      </c>
      <c r="N589">
        <v>2.7440000000000002</v>
      </c>
      <c r="O589" t="str">
        <f t="shared" si="200"/>
        <v xml:space="preserve">          </v>
      </c>
      <c r="P589" t="str">
        <f>CLEAN("STP RURAL                                                                                           ")</f>
        <v xml:space="preserve">STP RURAL                                                                                           </v>
      </c>
    </row>
    <row r="590" spans="1:16" x14ac:dyDescent="0.25">
      <c r="A590" t="str">
        <f t="shared" si="191"/>
        <v>10</v>
      </c>
      <c r="B590" t="str">
        <f t="shared" si="192"/>
        <v>21</v>
      </c>
      <c r="C590" s="1">
        <v>46137</v>
      </c>
      <c r="D590" t="str">
        <f>CLEAN("5390-00-20")</f>
        <v>5390-00-20</v>
      </c>
      <c r="E590" t="str">
        <f>CLEAN("303  ")</f>
        <v xml:space="preserve">303  </v>
      </c>
      <c r="F590" t="str">
        <f>CLEAN("$0 - $99,999             ")</f>
        <v xml:space="preserve">$0 - $99,999             </v>
      </c>
      <c r="G590" t="str">
        <f>CLEAN("R/E")</f>
        <v>R/E</v>
      </c>
      <c r="H590" t="str">
        <f>CLEAN("NONLET CONSTR/REAL ESTATE")</f>
        <v>NONLET CONSTR/REAL ESTATE</v>
      </c>
      <c r="I590" t="str">
        <f>CLEAN("R/E OPERATIONS/PVRPLA              ")</f>
        <v xml:space="preserve">R/E OPERATIONS/PVRPLA              </v>
      </c>
      <c r="J590" t="str">
        <f>CLEAN("USH 051")</f>
        <v>USH 051</v>
      </c>
      <c r="K590" t="str">
        <f>CLEAN("ROCK                          ")</f>
        <v xml:space="preserve">ROCK                          </v>
      </c>
      <c r="L590" t="str">
        <f>CLEAN("C JANESVILLE, N PARKER DRIVE       ")</f>
        <v xml:space="preserve">C JANESVILLE, N PARKER DRIVE       </v>
      </c>
      <c r="M590" t="str">
        <f>CLEAN("CENTERWAY ST TO BLACK BRIDGE ROAD  ")</f>
        <v xml:space="preserve">CENTERWAY ST TO BLACK BRIDGE ROAD  </v>
      </c>
      <c r="N590">
        <v>1.325</v>
      </c>
      <c r="O590" t="str">
        <f t="shared" si="200"/>
        <v xml:space="preserve">          </v>
      </c>
      <c r="P590" t="str">
        <f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591" spans="1:16" x14ac:dyDescent="0.25">
      <c r="A591" t="str">
        <f t="shared" si="191"/>
        <v>10</v>
      </c>
      <c r="B591" t="str">
        <f t="shared" si="192"/>
        <v>21</v>
      </c>
      <c r="C591" s="1">
        <v>45955</v>
      </c>
      <c r="D591" t="str">
        <f>CLEAN("5390-01-20")</f>
        <v>5390-01-20</v>
      </c>
      <c r="E591" t="str">
        <f>CLEAN("303  ")</f>
        <v xml:space="preserve">303  </v>
      </c>
      <c r="F591" t="str">
        <f>CLEAN("$0 - $99,999             ")</f>
        <v xml:space="preserve">$0 - $99,999             </v>
      </c>
      <c r="G591" t="str">
        <f>CLEAN("R/E")</f>
        <v>R/E</v>
      </c>
      <c r="H591" t="str">
        <f>CLEAN("NONLET CONSTR/REAL ESTATE")</f>
        <v>NONLET CONSTR/REAL ESTATE</v>
      </c>
      <c r="I591" t="str">
        <f>CLEAN("R/E OPERATIONS/PVRPLA              ")</f>
        <v xml:space="preserve">R/E OPERATIONS/PVRPLA              </v>
      </c>
      <c r="J591" t="str">
        <f>CLEAN("USH 051")</f>
        <v>USH 051</v>
      </c>
      <c r="K591" t="str">
        <f>CLEAN("ROCK                          ")</f>
        <v xml:space="preserve">ROCK                          </v>
      </c>
      <c r="L591" t="str">
        <f>CLEAN("JANESVILLE - STOUGHTON             ")</f>
        <v xml:space="preserve">JANESVILLE - STOUGHTON             </v>
      </c>
      <c r="M591" t="str">
        <f>CLEAN("BLACK BRIDGE ROAD TO USH 14        ")</f>
        <v xml:space="preserve">BLACK BRIDGE ROAD TO USH 14        </v>
      </c>
      <c r="N591">
        <v>1.77</v>
      </c>
      <c r="O591" t="str">
        <f t="shared" si="200"/>
        <v xml:space="preserve">          </v>
      </c>
      <c r="P591" t="str">
        <f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592" spans="1:16" x14ac:dyDescent="0.25">
      <c r="A592" t="str">
        <f t="shared" si="191"/>
        <v>10</v>
      </c>
      <c r="B592" t="str">
        <f t="shared" si="192"/>
        <v>21</v>
      </c>
      <c r="C592" s="1">
        <v>46091</v>
      </c>
      <c r="D592" t="str">
        <f>CLEAN("5405-00-70")</f>
        <v>5405-00-70</v>
      </c>
      <c r="E592" t="str">
        <f>CLEAN("205  ")</f>
        <v xml:space="preserve">205  </v>
      </c>
      <c r="F592" t="str">
        <f>CLEAN("$250,000 - $499,999      ")</f>
        <v xml:space="preserve">$250,000 - $499,999      </v>
      </c>
      <c r="G592" t="str">
        <f>CLEAN("LET")</f>
        <v>LET</v>
      </c>
      <c r="H592" t="str">
        <f>CLEAN("LET CONSTRUCTION         ")</f>
        <v xml:space="preserve">LET CONSTRUCTION         </v>
      </c>
      <c r="I592" t="str">
        <f>CLEAN("CONST OPS/BRIDGE REPLACEMENT       ")</f>
        <v xml:space="preserve">CONST OPS/BRIDGE REPLACEMENT       </v>
      </c>
      <c r="J592" t="str">
        <f>CLEAN("LOC STR")</f>
        <v>LOC STR</v>
      </c>
      <c r="K592" t="str">
        <f>CLEAN("VERNON                        ")</f>
        <v xml:space="preserve">VERNON                        </v>
      </c>
      <c r="L592" t="str">
        <f>CLEAN("TOWN OF STERLING, PRAIRIE ROAD     ")</f>
        <v xml:space="preserve">TOWN OF STERLING, PRAIRIE ROAD     </v>
      </c>
      <c r="M592" t="str">
        <f>CLEAN("RUSH CREEK BRIDGE B-62-0272        ")</f>
        <v xml:space="preserve">RUSH CREEK BRIDGE B-62-0272        </v>
      </c>
      <c r="N592">
        <v>1.2999999999999999E-2</v>
      </c>
      <c r="O592" t="str">
        <f t="shared" si="200"/>
        <v xml:space="preserve">          </v>
      </c>
      <c r="P592" t="str">
        <f>CLEAN("LOCAL BRIDGES                                                                                       ")</f>
        <v xml:space="preserve">LOCAL BRIDGES                                                                                       </v>
      </c>
    </row>
    <row r="593" spans="1:16" x14ac:dyDescent="0.25">
      <c r="A593" t="str">
        <f t="shared" si="191"/>
        <v>10</v>
      </c>
      <c r="B593" t="str">
        <f t="shared" si="192"/>
        <v>21</v>
      </c>
      <c r="C593" s="1">
        <v>46035</v>
      </c>
      <c r="D593" t="str">
        <f>CLEAN("5408-00-70")</f>
        <v>5408-00-70</v>
      </c>
      <c r="E593" t="str">
        <f>CLEAN("205  ")</f>
        <v xml:space="preserve">205  </v>
      </c>
      <c r="F593" t="str">
        <f>CLEAN("$500,000 - $749,999      ")</f>
        <v xml:space="preserve">$500,000 - $749,999      </v>
      </c>
      <c r="G593" t="str">
        <f>CLEAN("LET")</f>
        <v>LET</v>
      </c>
      <c r="H593" t="str">
        <f>CLEAN("LET CONSTRUCTION         ")</f>
        <v xml:space="preserve">LET CONSTRUCTION         </v>
      </c>
      <c r="I593" t="str">
        <f>CLEAN("CONST/BRIDGE REPLACEMENT           ")</f>
        <v xml:space="preserve">CONST/BRIDGE REPLACEMENT           </v>
      </c>
      <c r="J593" t="str">
        <f>CLEAN("LOC STR")</f>
        <v>LOC STR</v>
      </c>
      <c r="K593" t="str">
        <f>CLEAN("CRAWFORD                      ")</f>
        <v xml:space="preserve">CRAWFORD                      </v>
      </c>
      <c r="L593" t="str">
        <f>CLEAN("V DESOTO, MILL PARK DRIVE          ")</f>
        <v xml:space="preserve">V DESOTO, MILL PARK DRIVE          </v>
      </c>
      <c r="M593" t="str">
        <f>CLEAN("MISSISSIPPI TRIB BRIDGE B-12-0258  ")</f>
        <v xml:space="preserve">MISSISSIPPI TRIB BRIDGE B-12-0258  </v>
      </c>
      <c r="N593">
        <v>0.03</v>
      </c>
      <c r="O593" t="str">
        <f t="shared" si="200"/>
        <v xml:space="preserve">          </v>
      </c>
      <c r="P593" t="str">
        <f>CLEAN("LOCAL BRIDGES                                                                                       ")</f>
        <v xml:space="preserve">LOCAL BRIDGES                                                                                       </v>
      </c>
    </row>
    <row r="594" spans="1:16" x14ac:dyDescent="0.25">
      <c r="A594" t="str">
        <f t="shared" si="191"/>
        <v>10</v>
      </c>
      <c r="B594" t="str">
        <f t="shared" si="192"/>
        <v>21</v>
      </c>
      <c r="C594" s="1">
        <v>46091</v>
      </c>
      <c r="D594" t="str">
        <f>CLEAN("5436-00-77")</f>
        <v>5436-00-77</v>
      </c>
      <c r="E594" t="str">
        <f>CLEAN("205  ")</f>
        <v xml:space="preserve">205  </v>
      </c>
      <c r="F594" t="str">
        <f>CLEAN("$1,000,000 - $1,999,999  ")</f>
        <v xml:space="preserve">$1,000,000 - $1,999,999  </v>
      </c>
      <c r="G594" t="str">
        <f>CLEAN("LET")</f>
        <v>LET</v>
      </c>
      <c r="H594" t="str">
        <f>CLEAN("LET CONSTRUCTION         ")</f>
        <v xml:space="preserve">LET CONSTRUCTION         </v>
      </c>
      <c r="I594" t="str">
        <f>CLEAN("CONST OPS/BRIDGE REPLACEMENT       ")</f>
        <v xml:space="preserve">CONST OPS/BRIDGE REPLACEMENT       </v>
      </c>
      <c r="J594" t="str">
        <f>CLEAN("CTH M  ")</f>
        <v xml:space="preserve">CTH M  </v>
      </c>
      <c r="K594" t="str">
        <f>CLEAN("LA CROSSE                     ")</f>
        <v xml:space="preserve">LA CROSSE                     </v>
      </c>
      <c r="L594" t="str">
        <f>CLEAN("CTH I - CTH YY (CTH M)             ")</f>
        <v xml:space="preserve">CTH I - CTH YY (CTH M)             </v>
      </c>
      <c r="M594" t="str">
        <f>CLEAN("BOSTWICK CREEK BRIDGE B-32-0585    ")</f>
        <v xml:space="preserve">BOSTWICK CREEK BRIDGE B-32-0585    </v>
      </c>
      <c r="N594">
        <v>0</v>
      </c>
      <c r="O594" t="str">
        <f t="shared" si="200"/>
        <v xml:space="preserve">          </v>
      </c>
      <c r="P594" t="str">
        <f>CLEAN("LOCAL BRIDGES                                                                                       ")</f>
        <v xml:space="preserve">LOCAL BRIDGES                                                                                       </v>
      </c>
    </row>
    <row r="595" spans="1:16" x14ac:dyDescent="0.25">
      <c r="A595" t="str">
        <f t="shared" si="191"/>
        <v>10</v>
      </c>
      <c r="B595" t="str">
        <f t="shared" si="192"/>
        <v>21</v>
      </c>
      <c r="C595" s="1">
        <v>45894</v>
      </c>
      <c r="D595" t="str">
        <f>CLEAN("5545-00-20")</f>
        <v>5545-00-20</v>
      </c>
      <c r="E595" t="str">
        <f t="shared" ref="E595:E606" si="201">CLEAN("303  ")</f>
        <v xml:space="preserve">303  </v>
      </c>
      <c r="F595" t="str">
        <f>CLEAN("$0 - $99,999             ")</f>
        <v xml:space="preserve">$0 - $99,999             </v>
      </c>
      <c r="G595" t="str">
        <f>CLEAN("R/E")</f>
        <v>R/E</v>
      </c>
      <c r="H595" t="str">
        <f>CLEAN("NONLET CONSTR/REAL ESTATE")</f>
        <v>NONLET CONSTR/REAL ESTATE</v>
      </c>
      <c r="I595" t="str">
        <f>CLEAN("RE OPS/5545-00-70/RSRF             ")</f>
        <v xml:space="preserve">RE OPS/5545-00-70/RSRF             </v>
      </c>
      <c r="J595" t="str">
        <f>CLEAN("STH 071")</f>
        <v>STH 071</v>
      </c>
      <c r="K595" t="str">
        <f>CLEAN("MONROE                        ")</f>
        <v xml:space="preserve">MONROE                        </v>
      </c>
      <c r="L595" t="str">
        <f>CLEAN("WILTON - ELROY                     ")</f>
        <v xml:space="preserve">WILTON - ELROY                     </v>
      </c>
      <c r="M595" t="str">
        <f>CLEAN("CTH V TO STH 80                    ")</f>
        <v xml:space="preserve">CTH V TO STH 80                    </v>
      </c>
      <c r="N595">
        <v>9.73</v>
      </c>
      <c r="O595" t="str">
        <f t="shared" si="200"/>
        <v xml:space="preserve">          </v>
      </c>
      <c r="P595" t="str">
        <f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596" spans="1:16" x14ac:dyDescent="0.25">
      <c r="A596" t="str">
        <f t="shared" si="191"/>
        <v>10</v>
      </c>
      <c r="B596" t="str">
        <f t="shared" si="192"/>
        <v>21</v>
      </c>
      <c r="C596" s="1">
        <v>45894</v>
      </c>
      <c r="D596" t="str">
        <f>CLEAN("5545-00-22")</f>
        <v>5545-00-22</v>
      </c>
      <c r="E596" t="str">
        <f t="shared" si="201"/>
        <v xml:space="preserve">303  </v>
      </c>
      <c r="F596" t="str">
        <f>CLEAN("$0 - $99,999             ")</f>
        <v xml:space="preserve">$0 - $99,999             </v>
      </c>
      <c r="G596" t="str">
        <f>CLEAN("R/E")</f>
        <v>R/E</v>
      </c>
      <c r="H596" t="str">
        <f>CLEAN("NONLET CONSTR/REAL ESTATE")</f>
        <v>NONLET CONSTR/REAL ESTATE</v>
      </c>
      <c r="I596" t="str">
        <f>CLEAN("RE OPS/ 5545-00-72 / RSRF          ")</f>
        <v xml:space="preserve">RE OPS/ 5545-00-72 / RSRF          </v>
      </c>
      <c r="J596" t="str">
        <f>CLEAN("STH 071")</f>
        <v>STH 071</v>
      </c>
      <c r="K596" t="str">
        <f>CLEAN("MONROE                        ")</f>
        <v xml:space="preserve">MONROE                        </v>
      </c>
      <c r="L596" t="str">
        <f>CLEAN("WILTON - ELROY                     ")</f>
        <v xml:space="preserve">WILTON - ELROY                     </v>
      </c>
      <c r="M596" t="str">
        <f>CLEAN("GLEN STREET TO PARK ROAD           ")</f>
        <v xml:space="preserve">GLEN STREET TO PARK ROAD           </v>
      </c>
      <c r="N596">
        <v>0.504</v>
      </c>
      <c r="O596" t="str">
        <f t="shared" si="200"/>
        <v xml:space="preserve">          </v>
      </c>
      <c r="P596" t="str">
        <f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597" spans="1:16" x14ac:dyDescent="0.25">
      <c r="A597" t="str">
        <f t="shared" si="191"/>
        <v>10</v>
      </c>
      <c r="B597" t="str">
        <f t="shared" si="192"/>
        <v>21</v>
      </c>
      <c r="C597" s="1">
        <v>45986</v>
      </c>
      <c r="D597" t="str">
        <f>CLEAN("5571-00-52")</f>
        <v>5571-00-52</v>
      </c>
      <c r="E597" t="str">
        <f t="shared" si="201"/>
        <v xml:space="preserve">303  </v>
      </c>
      <c r="F597" t="str">
        <f>CLEAN("$250,000 - $499,999      ")</f>
        <v xml:space="preserve">$250,000 - $499,999      </v>
      </c>
      <c r="G597" t="str">
        <f>CLEAN("R/R")</f>
        <v>R/R</v>
      </c>
      <c r="H597" t="str">
        <f>CLEAN("NONLET CONSTR/REAL ESTATE")</f>
        <v>NONLET CONSTR/REAL ESTATE</v>
      </c>
      <c r="I597" t="str">
        <f>CLEAN("RR OPS/ CROSSING REPAIR/ RESURFACE ")</f>
        <v xml:space="preserve">RR OPS/ CROSSING REPAIR/ RESURFACE </v>
      </c>
      <c r="J597" t="str">
        <f t="shared" ref="J597:J603" si="202">CLEAN("STH 213")</f>
        <v>STH 213</v>
      </c>
      <c r="K597" t="str">
        <f t="shared" ref="K597:K603" si="203">CLEAN("ROCK                          ")</f>
        <v xml:space="preserve">ROCK                          </v>
      </c>
      <c r="L597" t="str">
        <f t="shared" ref="L597:L603" si="204">CLEAN("BELOIT - EVANSVILLE                ")</f>
        <v xml:space="preserve">BELOIT - EVANSVILLE                </v>
      </c>
      <c r="M597" t="str">
        <f>CLEAN("WSOR RR XING 392441D &amp; 392442K     ")</f>
        <v xml:space="preserve">WSOR RR XING 392441D &amp; 392442K     </v>
      </c>
      <c r="N597">
        <v>0</v>
      </c>
      <c r="O597" t="str">
        <f t="shared" si="200"/>
        <v xml:space="preserve">          </v>
      </c>
      <c r="P597" t="str">
        <f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598" spans="1:16" x14ac:dyDescent="0.25">
      <c r="A598" t="str">
        <f t="shared" si="191"/>
        <v>10</v>
      </c>
      <c r="B598" t="str">
        <f t="shared" si="192"/>
        <v>21</v>
      </c>
      <c r="C598" s="1">
        <v>45986</v>
      </c>
      <c r="D598" t="str">
        <f>CLEAN("5571-00-53")</f>
        <v>5571-00-53</v>
      </c>
      <c r="E598" t="str">
        <f t="shared" si="201"/>
        <v xml:space="preserve">303  </v>
      </c>
      <c r="F598" t="str">
        <f>CLEAN("$250,000 - $499,999      ")</f>
        <v xml:space="preserve">$250,000 - $499,999      </v>
      </c>
      <c r="G598" t="str">
        <f>CLEAN("R/R")</f>
        <v>R/R</v>
      </c>
      <c r="H598" t="str">
        <f>CLEAN("NONLET CONSTR/REAL ESTATE")</f>
        <v>NONLET CONSTR/REAL ESTATE</v>
      </c>
      <c r="I598" t="str">
        <f>CLEAN("RR OPS/ SIGNALS                    ")</f>
        <v xml:space="preserve">RR OPS/ SIGNALS                    </v>
      </c>
      <c r="J598" t="str">
        <f t="shared" si="202"/>
        <v>STH 213</v>
      </c>
      <c r="K598" t="str">
        <f t="shared" si="203"/>
        <v xml:space="preserve">ROCK                          </v>
      </c>
      <c r="L598" t="str">
        <f t="shared" si="204"/>
        <v xml:space="preserve">BELOIT - EVANSVILLE                </v>
      </c>
      <c r="M598" t="str">
        <f>CLEAN("WSOR RR XING 392441D &amp; 392442K     ")</f>
        <v xml:space="preserve">WSOR RR XING 392441D &amp; 392442K     </v>
      </c>
      <c r="N598">
        <v>0</v>
      </c>
      <c r="O598" t="str">
        <f t="shared" si="200"/>
        <v xml:space="preserve">          </v>
      </c>
      <c r="P598" t="str">
        <f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599" spans="1:16" x14ac:dyDescent="0.25">
      <c r="A599" t="str">
        <f t="shared" si="191"/>
        <v>10</v>
      </c>
      <c r="B599" t="str">
        <f t="shared" si="192"/>
        <v>21</v>
      </c>
      <c r="C599" s="1">
        <v>46091</v>
      </c>
      <c r="D599" t="str">
        <f>CLEAN("5571-00-72")</f>
        <v>5571-00-72</v>
      </c>
      <c r="E599" t="str">
        <f t="shared" si="201"/>
        <v xml:space="preserve">303  </v>
      </c>
      <c r="F599" t="str">
        <f>CLEAN("$8,000,000 - $8,999,999  ")</f>
        <v xml:space="preserve">$8,000,000 - $8,999,999  </v>
      </c>
      <c r="G599" t="str">
        <f>CLEAN("LET")</f>
        <v>LET</v>
      </c>
      <c r="H599" t="str">
        <f>CLEAN("LET CONSTRUCTION         ")</f>
        <v xml:space="preserve">LET CONSTRUCTION         </v>
      </c>
      <c r="I599" t="str">
        <f>CLEAN("CONS/PVRPLA                        ")</f>
        <v xml:space="preserve">CONS/PVRPLA                        </v>
      </c>
      <c r="J599" t="str">
        <f t="shared" si="202"/>
        <v>STH 213</v>
      </c>
      <c r="K599" t="str">
        <f t="shared" si="203"/>
        <v xml:space="preserve">ROCK                          </v>
      </c>
      <c r="L599" t="str">
        <f t="shared" si="204"/>
        <v xml:space="preserve">BELOIT - EVANSVILLE                </v>
      </c>
      <c r="M599" t="str">
        <f>CLEAN("BURTON STREET TO STH 11            ")</f>
        <v xml:space="preserve">BURTON STREET TO STH 11            </v>
      </c>
      <c r="N599">
        <v>12.606</v>
      </c>
      <c r="O599" t="str">
        <f>CLEAN("5571-00-73")</f>
        <v>5571-00-73</v>
      </c>
      <c r="P599" t="str">
        <f>CLEAN("SAFETY (REGULAR HSIP)                                                                               ")</f>
        <v xml:space="preserve">SAFETY (REGULAR HSIP)                                                                               </v>
      </c>
    </row>
    <row r="600" spans="1:16" x14ac:dyDescent="0.25">
      <c r="A600" t="str">
        <f t="shared" si="191"/>
        <v>10</v>
      </c>
      <c r="B600" t="str">
        <f t="shared" si="192"/>
        <v>21</v>
      </c>
      <c r="C600" s="1">
        <v>46091</v>
      </c>
      <c r="D600" t="str">
        <f>CLEAN("5571-00-72")</f>
        <v>5571-00-72</v>
      </c>
      <c r="E600" t="str">
        <f t="shared" si="201"/>
        <v xml:space="preserve">303  </v>
      </c>
      <c r="F600" t="str">
        <f>CLEAN("$8,000,000 - $8,999,999  ")</f>
        <v xml:space="preserve">$8,000,000 - $8,999,999  </v>
      </c>
      <c r="G600" t="str">
        <f>CLEAN("LET")</f>
        <v>LET</v>
      </c>
      <c r="H600" t="str">
        <f>CLEAN("LET CONSTRUCTION         ")</f>
        <v xml:space="preserve">LET CONSTRUCTION         </v>
      </c>
      <c r="I600" t="str">
        <f>CLEAN("CONS/PVRPLA                        ")</f>
        <v xml:space="preserve">CONS/PVRPLA                        </v>
      </c>
      <c r="J600" t="str">
        <f t="shared" si="202"/>
        <v>STH 213</v>
      </c>
      <c r="K600" t="str">
        <f t="shared" si="203"/>
        <v xml:space="preserve">ROCK                          </v>
      </c>
      <c r="L600" t="str">
        <f t="shared" si="204"/>
        <v xml:space="preserve">BELOIT - EVANSVILLE                </v>
      </c>
      <c r="M600" t="str">
        <f>CLEAN("BURTON STREET TO STH 11            ")</f>
        <v xml:space="preserve">BURTON STREET TO STH 11            </v>
      </c>
      <c r="N600">
        <v>12.606</v>
      </c>
      <c r="O600" t="str">
        <f>CLEAN("5571-00-73")</f>
        <v>5571-00-73</v>
      </c>
      <c r="P600" t="str">
        <f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601" spans="1:16" x14ac:dyDescent="0.25">
      <c r="A601" t="str">
        <f t="shared" si="191"/>
        <v>10</v>
      </c>
      <c r="B601" t="str">
        <f t="shared" si="192"/>
        <v>21</v>
      </c>
      <c r="C601" s="1">
        <v>46091</v>
      </c>
      <c r="D601" t="str">
        <f>CLEAN("5571-00-73")</f>
        <v>5571-00-73</v>
      </c>
      <c r="E601" t="str">
        <f t="shared" si="201"/>
        <v xml:space="preserve">303  </v>
      </c>
      <c r="F601" t="str">
        <f>CLEAN("$2,000,000 - $2,999,999  ")</f>
        <v xml:space="preserve">$2,000,000 - $2,999,999  </v>
      </c>
      <c r="G601" t="str">
        <f>CLEAN("LET")</f>
        <v>LET</v>
      </c>
      <c r="H601" t="str">
        <f>CLEAN("LET CONSTRUCTION         ")</f>
        <v xml:space="preserve">LET CONSTRUCTION         </v>
      </c>
      <c r="I601" t="str">
        <f>CLEAN("CONST/INTERSECTION IMPROV/RAB/RECST")</f>
        <v>CONST/INTERSECTION IMPROV/RAB/RECST</v>
      </c>
      <c r="J601" t="str">
        <f t="shared" si="202"/>
        <v>STH 213</v>
      </c>
      <c r="K601" t="str">
        <f t="shared" si="203"/>
        <v xml:space="preserve">ROCK                          </v>
      </c>
      <c r="L601" t="str">
        <f t="shared" si="204"/>
        <v xml:space="preserve">BELOIT - EVANSVILLE                </v>
      </c>
      <c r="M601" t="str">
        <f>CLEAN("CTH Q INTERSECTION                 ")</f>
        <v xml:space="preserve">CTH Q INTERSECTION                 </v>
      </c>
      <c r="N601">
        <v>0.60599999999999998</v>
      </c>
      <c r="O601" t="str">
        <f>CLEAN("5571-00-72")</f>
        <v>5571-00-72</v>
      </c>
      <c r="P601" t="str">
        <f>CLEAN("SAFETY (REGULAR HSIP)                                                                               ")</f>
        <v xml:space="preserve">SAFETY (REGULAR HSIP)                                                                               </v>
      </c>
    </row>
    <row r="602" spans="1:16" x14ac:dyDescent="0.25">
      <c r="A602" t="str">
        <f t="shared" si="191"/>
        <v>10</v>
      </c>
      <c r="B602" t="str">
        <f t="shared" si="192"/>
        <v>21</v>
      </c>
      <c r="C602" s="1">
        <v>46091</v>
      </c>
      <c r="D602" t="str">
        <f>CLEAN("5571-00-73")</f>
        <v>5571-00-73</v>
      </c>
      <c r="E602" t="str">
        <f t="shared" si="201"/>
        <v xml:space="preserve">303  </v>
      </c>
      <c r="F602" t="str">
        <f>CLEAN("$2,000,000 - $2,999,999  ")</f>
        <v xml:space="preserve">$2,000,000 - $2,999,999  </v>
      </c>
      <c r="G602" t="str">
        <f>CLEAN("LET")</f>
        <v>LET</v>
      </c>
      <c r="H602" t="str">
        <f>CLEAN("LET CONSTRUCTION         ")</f>
        <v xml:space="preserve">LET CONSTRUCTION         </v>
      </c>
      <c r="I602" t="str">
        <f>CLEAN("CONST/INTERSECTION IMPROV/RAB/RECST")</f>
        <v>CONST/INTERSECTION IMPROV/RAB/RECST</v>
      </c>
      <c r="J602" t="str">
        <f t="shared" si="202"/>
        <v>STH 213</v>
      </c>
      <c r="K602" t="str">
        <f t="shared" si="203"/>
        <v xml:space="preserve">ROCK                          </v>
      </c>
      <c r="L602" t="str">
        <f t="shared" si="204"/>
        <v xml:space="preserve">BELOIT - EVANSVILLE                </v>
      </c>
      <c r="M602" t="str">
        <f>CLEAN("CTH Q INTERSECTION                 ")</f>
        <v xml:space="preserve">CTH Q INTERSECTION                 </v>
      </c>
      <c r="N602">
        <v>0.60599999999999998</v>
      </c>
      <c r="O602" t="str">
        <f>CLEAN("5571-00-72")</f>
        <v>5571-00-72</v>
      </c>
      <c r="P602" t="str">
        <f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603" spans="1:16" x14ac:dyDescent="0.25">
      <c r="A603" t="str">
        <f t="shared" ref="A603:A666" si="205">CLEAN("10")</f>
        <v>10</v>
      </c>
      <c r="B603" t="str">
        <f t="shared" si="192"/>
        <v>21</v>
      </c>
      <c r="C603" s="1">
        <v>45955</v>
      </c>
      <c r="D603" t="str">
        <f>CLEAN("5571-01-20")</f>
        <v>5571-01-20</v>
      </c>
      <c r="E603" t="str">
        <f t="shared" si="201"/>
        <v xml:space="preserve">303  </v>
      </c>
      <c r="F603" t="str">
        <f>CLEAN("$0 - $99,999             ")</f>
        <v xml:space="preserve">$0 - $99,999             </v>
      </c>
      <c r="G603" t="str">
        <f>CLEAN("R/E")</f>
        <v>R/E</v>
      </c>
      <c r="H603" t="str">
        <f>CLEAN("NONLET CONSTR/REAL ESTATE")</f>
        <v>NONLET CONSTR/REAL ESTATE</v>
      </c>
      <c r="I603" t="str">
        <f>CLEAN("R/E OPERATIONS/RSRF30              ")</f>
        <v xml:space="preserve">R/E OPERATIONS/RSRF30              </v>
      </c>
      <c r="J603" t="str">
        <f t="shared" si="202"/>
        <v>STH 213</v>
      </c>
      <c r="K603" t="str">
        <f t="shared" si="203"/>
        <v xml:space="preserve">ROCK                          </v>
      </c>
      <c r="L603" t="str">
        <f t="shared" si="204"/>
        <v xml:space="preserve">BELOIT - EVANSVILLE                </v>
      </c>
      <c r="M603" t="str">
        <f>CLEAN("STH 11 TO STH 59                   ")</f>
        <v xml:space="preserve">STH 11 TO STH 59                   </v>
      </c>
      <c r="N603">
        <v>8.08</v>
      </c>
      <c r="O603" t="str">
        <f t="shared" ref="O603:O608" si="206">CLEAN("          ")</f>
        <v xml:space="preserve">          </v>
      </c>
      <c r="P603" t="str">
        <f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604" spans="1:16" x14ac:dyDescent="0.25">
      <c r="A604" t="str">
        <f t="shared" si="205"/>
        <v>10</v>
      </c>
      <c r="B604" t="str">
        <f t="shared" si="192"/>
        <v>21</v>
      </c>
      <c r="C604" s="1">
        <v>46078</v>
      </c>
      <c r="D604" t="str">
        <f>CLEAN("5590-05-22")</f>
        <v>5590-05-22</v>
      </c>
      <c r="E604" t="str">
        <f t="shared" si="201"/>
        <v xml:space="preserve">303  </v>
      </c>
      <c r="F604" t="str">
        <f>CLEAN("$0 - $99,999             ")</f>
        <v xml:space="preserve">$0 - $99,999             </v>
      </c>
      <c r="G604" t="str">
        <f>CLEAN("R/E")</f>
        <v>R/E</v>
      </c>
      <c r="H604" t="str">
        <f>CLEAN("NONLET CONSTR/REAL ESTATE")</f>
        <v>NONLET CONSTR/REAL ESTATE</v>
      </c>
      <c r="I604" t="str">
        <f>CLEAN("DESIGN-RIGHT OF WAY-PVRPLA         ")</f>
        <v xml:space="preserve">DESIGN-RIGHT OF WAY-PVRPLA         </v>
      </c>
      <c r="J604" t="str">
        <f>CLEAN("STH 078")</f>
        <v>STH 078</v>
      </c>
      <c r="K604" t="str">
        <f>CLEAN("LAFAYETTE                     ")</f>
        <v xml:space="preserve">LAFAYETTE                     </v>
      </c>
      <c r="L604" t="str">
        <f>CLEAN("ARGYLE - MT HOREB                  ")</f>
        <v xml:space="preserve">ARGYLE - MT HOREB                  </v>
      </c>
      <c r="M604" t="str">
        <f>CLEAN("GALENA STREET TO VALLEY ROAD       ")</f>
        <v xml:space="preserve">GALENA STREET TO VALLEY ROAD       </v>
      </c>
      <c r="N604">
        <v>1.1060000000000001</v>
      </c>
      <c r="O604" t="str">
        <f t="shared" si="206"/>
        <v xml:space="preserve">          </v>
      </c>
      <c r="P604" t="str">
        <f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605" spans="1:16" x14ac:dyDescent="0.25">
      <c r="A605" t="str">
        <f t="shared" si="205"/>
        <v>10</v>
      </c>
      <c r="B605" t="str">
        <f t="shared" si="192"/>
        <v>21</v>
      </c>
      <c r="C605" s="1">
        <v>46035</v>
      </c>
      <c r="D605" t="str">
        <f>CLEAN("5590-05-71")</f>
        <v>5590-05-71</v>
      </c>
      <c r="E605" t="str">
        <f t="shared" si="201"/>
        <v xml:space="preserve">303  </v>
      </c>
      <c r="F605" t="str">
        <f>CLEAN("$5,000,000 - $5,999,999  ")</f>
        <v xml:space="preserve">$5,000,000 - $5,999,999  </v>
      </c>
      <c r="G605" t="str">
        <f>CLEAN("LET")</f>
        <v>LET</v>
      </c>
      <c r="H605" t="str">
        <f>CLEAN("LET CONSTRUCTION         ")</f>
        <v xml:space="preserve">LET CONSTRUCTION         </v>
      </c>
      <c r="I605" t="str">
        <f>CLEAN("CONST/ MILL AND OVERLAY            ")</f>
        <v xml:space="preserve">CONST/ MILL AND OVERLAY            </v>
      </c>
      <c r="J605" t="str">
        <f>CLEAN("STH 078")</f>
        <v>STH 078</v>
      </c>
      <c r="K605" t="str">
        <f>CLEAN("GREEN                         ")</f>
        <v xml:space="preserve">GREEN                         </v>
      </c>
      <c r="L605" t="str">
        <f>CLEAN("ARGYLE - MT HOREB                  ")</f>
        <v xml:space="preserve">ARGYLE - MT HOREB                  </v>
      </c>
      <c r="M605" t="str">
        <f>CLEAN("LIEN COURT TO NORTH JUNCTION CTH H ")</f>
        <v xml:space="preserve">LIEN COURT TO NORTH JUNCTION CTH H </v>
      </c>
      <c r="N605">
        <v>6.2930000000000001</v>
      </c>
      <c r="O605" t="str">
        <f t="shared" si="206"/>
        <v xml:space="preserve">          </v>
      </c>
      <c r="P605" t="str">
        <f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606" spans="1:16" x14ac:dyDescent="0.25">
      <c r="A606" t="str">
        <f t="shared" si="205"/>
        <v>10</v>
      </c>
      <c r="B606" t="str">
        <f t="shared" si="192"/>
        <v>21</v>
      </c>
      <c r="C606" s="1">
        <v>46106</v>
      </c>
      <c r="D606" t="str">
        <f>CLEAN("5616-04-23")</f>
        <v>5616-04-23</v>
      </c>
      <c r="E606" t="str">
        <f t="shared" si="201"/>
        <v xml:space="preserve">303  </v>
      </c>
      <c r="F606" t="str">
        <f>CLEAN("$0 - $99,999             ")</f>
        <v xml:space="preserve">$0 - $99,999             </v>
      </c>
      <c r="G606" t="str">
        <f>CLEAN("R/E")</f>
        <v>R/E</v>
      </c>
      <c r="H606" t="str">
        <f>CLEAN("NONLET CONSTR/REAL ESTATE")</f>
        <v>NONLET CONSTR/REAL ESTATE</v>
      </c>
      <c r="I606" t="str">
        <f>CLEAN("RE / 5616-04-73 /PVRPLA            ")</f>
        <v xml:space="preserve">RE / 5616-04-73 /PVRPLA            </v>
      </c>
      <c r="J606" t="str">
        <f>CLEAN("STH 133")</f>
        <v>STH 133</v>
      </c>
      <c r="K606" t="str">
        <f>CLEAN("GRANT                         ")</f>
        <v xml:space="preserve">GRANT                         </v>
      </c>
      <c r="L606" t="str">
        <f>CLEAN("MUSCODA - LONE ROCK                ")</f>
        <v xml:space="preserve">MUSCODA - LONE ROCK                </v>
      </c>
      <c r="M606" t="str">
        <f>CLEAN("SPORTSMANS DRIVE TO STH 80         ")</f>
        <v xml:space="preserve">SPORTSMANS DRIVE TO STH 80         </v>
      </c>
      <c r="N606">
        <v>0.31</v>
      </c>
      <c r="O606" t="str">
        <f t="shared" si="206"/>
        <v xml:space="preserve">          </v>
      </c>
      <c r="P606" t="str">
        <f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607" spans="1:16" x14ac:dyDescent="0.25">
      <c r="A607" t="str">
        <f t="shared" si="205"/>
        <v>10</v>
      </c>
      <c r="B607" t="str">
        <f t="shared" si="192"/>
        <v>21</v>
      </c>
      <c r="C607" s="1">
        <v>45909</v>
      </c>
      <c r="D607" t="str">
        <f>CLEAN("5618-00-73")</f>
        <v>5618-00-73</v>
      </c>
      <c r="E607" t="str">
        <f>CLEAN("205  ")</f>
        <v xml:space="preserve">205  </v>
      </c>
      <c r="F607" t="str">
        <f>CLEAN("$250,000 - $499,999      ")</f>
        <v xml:space="preserve">$250,000 - $499,999      </v>
      </c>
      <c r="G607" t="str">
        <f>CLEAN("LET")</f>
        <v>LET</v>
      </c>
      <c r="H607" t="str">
        <f>CLEAN("LET CONSTRUCTION         ")</f>
        <v xml:space="preserve">LET CONSTRUCTION         </v>
      </c>
      <c r="I607" t="str">
        <f>CLEAN("CONST OPS/BRIDGE REPLACEMENT       ")</f>
        <v xml:space="preserve">CONST OPS/BRIDGE REPLACEMENT       </v>
      </c>
      <c r="J607" t="str">
        <f>CLEAN("LOC STR")</f>
        <v>LOC STR</v>
      </c>
      <c r="K607" t="str">
        <f>CLEAN("IOWA                          ")</f>
        <v xml:space="preserve">IOWA                          </v>
      </c>
      <c r="L607" t="str">
        <f>CLEAN("TOWN OF WYOMING, LAKE VIEW ROAD    ")</f>
        <v xml:space="preserve">TOWN OF WYOMING, LAKE VIEW ROAD    </v>
      </c>
      <c r="M607" t="str">
        <f>CLEAN("SNEED CREEK BRIDGE B-25-0197       ")</f>
        <v xml:space="preserve">SNEED CREEK BRIDGE B-25-0197       </v>
      </c>
      <c r="N607">
        <v>2.5999999999999999E-2</v>
      </c>
      <c r="O607" t="str">
        <f t="shared" si="206"/>
        <v xml:space="preserve">          </v>
      </c>
      <c r="P607" t="str">
        <f>CLEAN("LOCAL BRIDGES                                                                                       ")</f>
        <v xml:space="preserve">LOCAL BRIDGES                                                                                       </v>
      </c>
    </row>
    <row r="608" spans="1:16" x14ac:dyDescent="0.25">
      <c r="A608" t="str">
        <f t="shared" si="205"/>
        <v>10</v>
      </c>
      <c r="B608" t="str">
        <f t="shared" ref="B608:B671" si="207">CLEAN("21")</f>
        <v>21</v>
      </c>
      <c r="C608" s="1">
        <v>45955</v>
      </c>
      <c r="D608" t="str">
        <f>CLEAN("5620-00-51")</f>
        <v>5620-00-51</v>
      </c>
      <c r="E608" t="str">
        <f>CLEAN("303  ")</f>
        <v xml:space="preserve">303  </v>
      </c>
      <c r="F608" t="str">
        <f>CLEAN("$250,000 - $499,999      ")</f>
        <v xml:space="preserve">$250,000 - $499,999      </v>
      </c>
      <c r="G608" t="str">
        <f>CLEAN("R/R")</f>
        <v>R/R</v>
      </c>
      <c r="H608" t="str">
        <f>CLEAN("NONLET CONSTR/REAL ESTATE")</f>
        <v>NONLET CONSTR/REAL ESTATE</v>
      </c>
      <c r="I608" t="str">
        <f>CLEAN("RR OPS/SIGNALS/MILL &amp; OVERLAY      ")</f>
        <v xml:space="preserve">RR OPS/SIGNALS/MILL &amp; OVERLAY      </v>
      </c>
      <c r="J608" t="str">
        <f>CLEAN("STH 113")</f>
        <v>STH 113</v>
      </c>
      <c r="K608" t="str">
        <f>CLEAN("SAUK                          ")</f>
        <v xml:space="preserve">SAUK                          </v>
      </c>
      <c r="L608" t="str">
        <f>CLEAN("LODI - BARABOO                     ")</f>
        <v xml:space="preserve">LODI - BARABOO                     </v>
      </c>
      <c r="M608" t="str">
        <f>CLEAN("STH 113, WSOR,178 115N, MP 167 34  ")</f>
        <v xml:space="preserve">STH 113, WSOR,178 115N, MP 167 34  </v>
      </c>
      <c r="N608">
        <v>2E-3</v>
      </c>
      <c r="O608" t="str">
        <f t="shared" si="206"/>
        <v xml:space="preserve">          </v>
      </c>
      <c r="P608" t="str">
        <f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609" spans="1:16" x14ac:dyDescent="0.25">
      <c r="A609" t="str">
        <f t="shared" si="205"/>
        <v>10</v>
      </c>
      <c r="B609" t="str">
        <f t="shared" si="207"/>
        <v>21</v>
      </c>
      <c r="C609" s="1">
        <v>46091</v>
      </c>
      <c r="D609" t="str">
        <f>CLEAN("5620-00-72")</f>
        <v>5620-00-72</v>
      </c>
      <c r="E609" t="str">
        <f>CLEAN("303  ")</f>
        <v xml:space="preserve">303  </v>
      </c>
      <c r="F609" t="str">
        <f>CLEAN("$5,000,000 - $5,999,999  ")</f>
        <v xml:space="preserve">$5,000,000 - $5,999,999  </v>
      </c>
      <c r="G609" t="str">
        <f t="shared" ref="G609:G617" si="208">CLEAN("LET")</f>
        <v>LET</v>
      </c>
      <c r="H609" t="str">
        <f t="shared" ref="H609:H617" si="209">CLEAN("LET CONSTRUCTION         ")</f>
        <v xml:space="preserve">LET CONSTRUCTION         </v>
      </c>
      <c r="I609" t="str">
        <f>CLEAN("CONS/ PVRPLA                       ")</f>
        <v xml:space="preserve">CONS/ PVRPLA                       </v>
      </c>
      <c r="J609" t="str">
        <f>CLEAN("STH 113")</f>
        <v>STH 113</v>
      </c>
      <c r="K609" t="str">
        <f>CLEAN("SAUK                          ")</f>
        <v xml:space="preserve">SAUK                          </v>
      </c>
      <c r="L609" t="str">
        <f>CLEAN("LODI - BARABOO                     ")</f>
        <v xml:space="preserve">LODI - BARABOO                     </v>
      </c>
      <c r="M609" t="str">
        <f>CLEAN("STH 78 TO MOUND STREET             ")</f>
        <v xml:space="preserve">STH 78 TO MOUND STREET             </v>
      </c>
      <c r="N609">
        <v>7.67</v>
      </c>
      <c r="O609" t="str">
        <f>CLEAN("5620-00-73")</f>
        <v>5620-00-73</v>
      </c>
      <c r="P609" t="str">
        <f>CLEAN("SAFETY (REGULAR HSIP)                                                                               ")</f>
        <v xml:space="preserve">SAFETY (REGULAR HSIP)                                                                               </v>
      </c>
    </row>
    <row r="610" spans="1:16" x14ac:dyDescent="0.25">
      <c r="A610" t="str">
        <f t="shared" si="205"/>
        <v>10</v>
      </c>
      <c r="B610" t="str">
        <f t="shared" si="207"/>
        <v>21</v>
      </c>
      <c r="C610" s="1">
        <v>46091</v>
      </c>
      <c r="D610" t="str">
        <f>CLEAN("5620-00-72")</f>
        <v>5620-00-72</v>
      </c>
      <c r="E610" t="str">
        <f>CLEAN("303  ")</f>
        <v xml:space="preserve">303  </v>
      </c>
      <c r="F610" t="str">
        <f>CLEAN("$5,000,000 - $5,999,999  ")</f>
        <v xml:space="preserve">$5,000,000 - $5,999,999  </v>
      </c>
      <c r="G610" t="str">
        <f t="shared" si="208"/>
        <v>LET</v>
      </c>
      <c r="H610" t="str">
        <f t="shared" si="209"/>
        <v xml:space="preserve">LET CONSTRUCTION         </v>
      </c>
      <c r="I610" t="str">
        <f>CLEAN("CONS/ PVRPLA                       ")</f>
        <v xml:space="preserve">CONS/ PVRPLA                       </v>
      </c>
      <c r="J610" t="str">
        <f>CLEAN("STH 113")</f>
        <v>STH 113</v>
      </c>
      <c r="K610" t="str">
        <f>CLEAN("SAUK                          ")</f>
        <v xml:space="preserve">SAUK                          </v>
      </c>
      <c r="L610" t="str">
        <f>CLEAN("LODI - BARABOO                     ")</f>
        <v xml:space="preserve">LODI - BARABOO                     </v>
      </c>
      <c r="M610" t="str">
        <f>CLEAN("STH 78 TO MOUND STREET             ")</f>
        <v xml:space="preserve">STH 78 TO MOUND STREET             </v>
      </c>
      <c r="N610">
        <v>7.67</v>
      </c>
      <c r="O610" t="str">
        <f>CLEAN("5620-00-73")</f>
        <v>5620-00-73</v>
      </c>
      <c r="P610" t="str">
        <f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611" spans="1:16" x14ac:dyDescent="0.25">
      <c r="A611" t="str">
        <f t="shared" si="205"/>
        <v>10</v>
      </c>
      <c r="B611" t="str">
        <f t="shared" si="207"/>
        <v>21</v>
      </c>
      <c r="C611" s="1">
        <v>46091</v>
      </c>
      <c r="D611" t="str">
        <f>CLEAN("5620-00-73")</f>
        <v>5620-00-73</v>
      </c>
      <c r="E611" t="str">
        <f>CLEAN("303  ")</f>
        <v xml:space="preserve">303  </v>
      </c>
      <c r="F611" t="str">
        <f>CLEAN("$250,000 - $499,999      ")</f>
        <v xml:space="preserve">$250,000 - $499,999      </v>
      </c>
      <c r="G611" t="str">
        <f t="shared" si="208"/>
        <v>LET</v>
      </c>
      <c r="H611" t="str">
        <f t="shared" si="209"/>
        <v xml:space="preserve">LET CONSTRUCTION         </v>
      </c>
      <c r="I611" t="str">
        <f>CLEAN("CONST/CURVE RECST/RECST            ")</f>
        <v xml:space="preserve">CONST/CURVE RECST/RECST            </v>
      </c>
      <c r="J611" t="str">
        <f>CLEAN("STH 113")</f>
        <v>STH 113</v>
      </c>
      <c r="K611" t="str">
        <f>CLEAN("SAUK                          ")</f>
        <v xml:space="preserve">SAUK                          </v>
      </c>
      <c r="L611" t="str">
        <f>CLEAN("LODI - BARABOO                     ")</f>
        <v xml:space="preserve">LODI - BARABOO                     </v>
      </c>
      <c r="M611" t="str">
        <f>CLEAN("CURVE 0.64 MI NORTH OF SOLUM LANE  ")</f>
        <v xml:space="preserve">CURVE 0.64 MI NORTH OF SOLUM LANE  </v>
      </c>
      <c r="N611">
        <v>0.77400000000000002</v>
      </c>
      <c r="O611" t="str">
        <f>CLEAN("5620-00-72")</f>
        <v>5620-00-72</v>
      </c>
      <c r="P611" t="str">
        <f>CLEAN("SAFETY (REGULAR HSIP)                                                                               ")</f>
        <v xml:space="preserve">SAFETY (REGULAR HSIP)                                                                               </v>
      </c>
    </row>
    <row r="612" spans="1:16" x14ac:dyDescent="0.25">
      <c r="A612" t="str">
        <f t="shared" si="205"/>
        <v>10</v>
      </c>
      <c r="B612" t="str">
        <f t="shared" si="207"/>
        <v>21</v>
      </c>
      <c r="C612" s="1">
        <v>46063</v>
      </c>
      <c r="D612" t="str">
        <f>CLEAN("5627-00-71")</f>
        <v>5627-00-71</v>
      </c>
      <c r="E612" t="str">
        <f>CLEAN("206  ")</f>
        <v xml:space="preserve">206  </v>
      </c>
      <c r="F612" t="str">
        <f>CLEAN("$500,000 - $749,999      ")</f>
        <v xml:space="preserve">$500,000 - $749,999      </v>
      </c>
      <c r="G612" t="str">
        <f t="shared" si="208"/>
        <v>LET</v>
      </c>
      <c r="H612" t="str">
        <f t="shared" si="209"/>
        <v xml:space="preserve">LET CONSTRUCTION         </v>
      </c>
      <c r="I612" t="str">
        <f>CLEAN("CONST OPS/RECONSTRUCTION           ")</f>
        <v xml:space="preserve">CONST OPS/RECONSTRUCTION           </v>
      </c>
      <c r="J612" t="str">
        <f>CLEAN("LOC STR")</f>
        <v>LOC STR</v>
      </c>
      <c r="K612" t="str">
        <f>CLEAN("DANE                          ")</f>
        <v xml:space="preserve">DANE                          </v>
      </c>
      <c r="L612" t="str">
        <f>CLEAN("VILLAGE OF OREGON, E LINCOLN STREET")</f>
        <v>VILLAGE OF OREGON, E LINCOLN STREET</v>
      </c>
      <c r="M612" t="str">
        <f>CLEAN("N MAIN STREET TO N PERRY PARKWAY   ")</f>
        <v xml:space="preserve">N MAIN STREET TO N PERRY PARKWAY   </v>
      </c>
      <c r="N612">
        <v>0.52</v>
      </c>
      <c r="O612" t="str">
        <f>CLEAN("5627-00-72")</f>
        <v>5627-00-72</v>
      </c>
      <c r="P612" t="str">
        <f>CLEAN("STP URBAN 5,000 - 20,000                                                                            ")</f>
        <v xml:space="preserve">STP URBAN 5,000 - 20,000                                                                            </v>
      </c>
    </row>
    <row r="613" spans="1:16" x14ac:dyDescent="0.25">
      <c r="A613" t="str">
        <f t="shared" si="205"/>
        <v>10</v>
      </c>
      <c r="B613" t="str">
        <f t="shared" si="207"/>
        <v>21</v>
      </c>
      <c r="C613" s="1">
        <v>46063</v>
      </c>
      <c r="D613" t="str">
        <f>CLEAN("5627-00-72")</f>
        <v>5627-00-72</v>
      </c>
      <c r="E613" t="str">
        <f>CLEAN("206  ")</f>
        <v xml:space="preserve">206  </v>
      </c>
      <c r="F613" t="str">
        <f>CLEAN("$750,000 - $999,999      ")</f>
        <v xml:space="preserve">$750,000 - $999,999      </v>
      </c>
      <c r="G613" t="str">
        <f t="shared" si="208"/>
        <v>LET</v>
      </c>
      <c r="H613" t="str">
        <f t="shared" si="209"/>
        <v xml:space="preserve">LET CONSTRUCTION         </v>
      </c>
      <c r="I613" t="str">
        <f>CLEAN("UTL OPS/SANITARY SEWER - WATER MAIN")</f>
        <v>UTL OPS/SANITARY SEWER - WATER MAIN</v>
      </c>
      <c r="J613" t="str">
        <f>CLEAN("LOC STR")</f>
        <v>LOC STR</v>
      </c>
      <c r="K613" t="str">
        <f>CLEAN("DANE                          ")</f>
        <v xml:space="preserve">DANE                          </v>
      </c>
      <c r="L613" t="str">
        <f>CLEAN("VILLAGE OF OREGON, E LINCOLN STREET")</f>
        <v>VILLAGE OF OREGON, E LINCOLN STREET</v>
      </c>
      <c r="M613" t="str">
        <f>CLEAN("N MAIN STREET TO N PERRY PARKWAY   ")</f>
        <v xml:space="preserve">N MAIN STREET TO N PERRY PARKWAY   </v>
      </c>
      <c r="N613">
        <v>0.52</v>
      </c>
      <c r="O613" t="str">
        <f>CLEAN("5627-00-71")</f>
        <v>5627-00-71</v>
      </c>
      <c r="P613" t="str">
        <f>CLEAN("STP URBAN 5,000 - 20,000                                                                            ")</f>
        <v xml:space="preserve">STP URBAN 5,000 - 20,000                                                                            </v>
      </c>
    </row>
    <row r="614" spans="1:16" x14ac:dyDescent="0.25">
      <c r="A614" t="str">
        <f t="shared" si="205"/>
        <v>10</v>
      </c>
      <c r="B614" t="str">
        <f t="shared" si="207"/>
        <v>21</v>
      </c>
      <c r="C614" s="1">
        <v>46154</v>
      </c>
      <c r="D614" t="str">
        <f>CLEAN("5629-00-76")</f>
        <v>5629-00-76</v>
      </c>
      <c r="E614" t="str">
        <f>CLEAN("205  ")</f>
        <v xml:space="preserve">205  </v>
      </c>
      <c r="F614" t="str">
        <f>CLEAN("$250,000 - $499,999      ")</f>
        <v xml:space="preserve">$250,000 - $499,999      </v>
      </c>
      <c r="G614" t="str">
        <f t="shared" si="208"/>
        <v>LET</v>
      </c>
      <c r="H614" t="str">
        <f t="shared" si="209"/>
        <v xml:space="preserve">LET CONSTRUCTION         </v>
      </c>
      <c r="I614" t="str">
        <f>CLEAN("CONST/BRIDGE REPLACEMENT           ")</f>
        <v xml:space="preserve">CONST/BRIDGE REPLACEMENT           </v>
      </c>
      <c r="J614" t="str">
        <f>CLEAN("LOC STR")</f>
        <v>LOC STR</v>
      </c>
      <c r="K614" t="str">
        <f>CLEAN("GRANT                         ")</f>
        <v xml:space="preserve">GRANT                         </v>
      </c>
      <c r="L614" t="str">
        <f>CLEAN("T HARRISON, QUARRY ROAD            ")</f>
        <v xml:space="preserve">T HARRISON, QUARRY ROAD            </v>
      </c>
      <c r="M614" t="str">
        <f>CLEAN("BLAKELY BRANCH BRIDGE B-22-0312    ")</f>
        <v xml:space="preserve">BLAKELY BRANCH BRIDGE B-22-0312    </v>
      </c>
      <c r="N614">
        <v>3.5999999999999997E-2</v>
      </c>
      <c r="O614" t="str">
        <f>CLEAN("          ")</f>
        <v xml:space="preserve">          </v>
      </c>
      <c r="P614" t="str">
        <f>CLEAN("LOCAL BRIDGES                                                                                       ")</f>
        <v xml:space="preserve">LOCAL BRIDGES                                                                                       </v>
      </c>
    </row>
    <row r="615" spans="1:16" x14ac:dyDescent="0.25">
      <c r="A615" t="str">
        <f t="shared" si="205"/>
        <v>10</v>
      </c>
      <c r="B615" t="str">
        <f t="shared" si="207"/>
        <v>21</v>
      </c>
      <c r="C615" s="1">
        <v>46154</v>
      </c>
      <c r="D615" t="str">
        <f>CLEAN("5629-00-77")</f>
        <v>5629-00-77</v>
      </c>
      <c r="E615" t="str">
        <f>CLEAN("205  ")</f>
        <v xml:space="preserve">205  </v>
      </c>
      <c r="F615" t="str">
        <f>CLEAN("$250,000 - $499,999      ")</f>
        <v xml:space="preserve">$250,000 - $499,999      </v>
      </c>
      <c r="G615" t="str">
        <f t="shared" si="208"/>
        <v>LET</v>
      </c>
      <c r="H615" t="str">
        <f t="shared" si="209"/>
        <v xml:space="preserve">LET CONSTRUCTION         </v>
      </c>
      <c r="I615" t="str">
        <f>CLEAN("CONST/BRIDGE REPLACEMENT           ")</f>
        <v xml:space="preserve">CONST/BRIDGE REPLACEMENT           </v>
      </c>
      <c r="J615" t="str">
        <f>CLEAN("LOC STR")</f>
        <v>LOC STR</v>
      </c>
      <c r="K615" t="str">
        <f>CLEAN("GRANT                         ")</f>
        <v xml:space="preserve">GRANT                         </v>
      </c>
      <c r="L615" t="str">
        <f>CLEAN("T HARRISON, ELM ROAD               ")</f>
        <v xml:space="preserve">T HARRISON, ELM ROAD               </v>
      </c>
      <c r="M615" t="str">
        <f>CLEAN("BR PLATTE RIVER BRIDGE B-22-0313   ")</f>
        <v xml:space="preserve">BR PLATTE RIVER BRIDGE B-22-0313   </v>
      </c>
      <c r="N615">
        <v>4.4999999999999998E-2</v>
      </c>
      <c r="O615" t="str">
        <f>CLEAN("          ")</f>
        <v xml:space="preserve">          </v>
      </c>
      <c r="P615" t="str">
        <f>CLEAN("LOCAL BRIDGES                                                                                       ")</f>
        <v xml:space="preserve">LOCAL BRIDGES                                                                                       </v>
      </c>
    </row>
    <row r="616" spans="1:16" x14ac:dyDescent="0.25">
      <c r="A616" t="str">
        <f t="shared" si="205"/>
        <v>10</v>
      </c>
      <c r="B616" t="str">
        <f t="shared" si="207"/>
        <v>21</v>
      </c>
      <c r="C616" s="1">
        <v>45972</v>
      </c>
      <c r="D616" t="str">
        <f>CLEAN("5630-06-73")</f>
        <v>5630-06-73</v>
      </c>
      <c r="E616" t="str">
        <f>CLEAN("303  ")</f>
        <v xml:space="preserve">303  </v>
      </c>
      <c r="F616" t="str">
        <f>CLEAN("$1,000,000 - $1,999,999  ")</f>
        <v xml:space="preserve">$1,000,000 - $1,999,999  </v>
      </c>
      <c r="G616" t="str">
        <f t="shared" si="208"/>
        <v>LET</v>
      </c>
      <c r="H616" t="str">
        <f t="shared" si="209"/>
        <v xml:space="preserve">LET CONSTRUCTION         </v>
      </c>
      <c r="I616" t="str">
        <f>CLEAN("CONST/ MILL AND OVERLAY            ")</f>
        <v xml:space="preserve">CONST/ MILL AND OVERLAY            </v>
      </c>
      <c r="J616" t="str">
        <f>CLEAN("STH 078")</f>
        <v>STH 078</v>
      </c>
      <c r="K616" t="str">
        <f>CLEAN("SAUK                          ")</f>
        <v xml:space="preserve">SAUK                          </v>
      </c>
      <c r="L616" t="str">
        <f>CLEAN("SAUK CITY - IH 39                  ")</f>
        <v xml:space="preserve">SAUK CITY - IH 39                  </v>
      </c>
      <c r="M616" t="str">
        <f>CLEAN("V MERRIMAC N LIMIT TO CTH DL       ")</f>
        <v xml:space="preserve">V MERRIMAC N LIMIT TO CTH DL       </v>
      </c>
      <c r="N616">
        <v>2.8140000000000001</v>
      </c>
      <c r="O616" t="str">
        <f>CLEAN("5630-06-80")</f>
        <v>5630-06-80</v>
      </c>
      <c r="P616" t="str">
        <f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617" spans="1:16" x14ac:dyDescent="0.25">
      <c r="A617" t="str">
        <f t="shared" si="205"/>
        <v>10</v>
      </c>
      <c r="B617" t="str">
        <f t="shared" si="207"/>
        <v>21</v>
      </c>
      <c r="C617" s="1">
        <v>45972</v>
      </c>
      <c r="D617" t="str">
        <f>CLEAN("5630-06-80")</f>
        <v>5630-06-80</v>
      </c>
      <c r="E617" t="str">
        <f>CLEAN("303  ")</f>
        <v xml:space="preserve">303  </v>
      </c>
      <c r="F617" t="str">
        <f>CLEAN("$250,000 - $499,999      ")</f>
        <v xml:space="preserve">$250,000 - $499,999      </v>
      </c>
      <c r="G617" t="str">
        <f t="shared" si="208"/>
        <v>LET</v>
      </c>
      <c r="H617" t="str">
        <f t="shared" si="209"/>
        <v xml:space="preserve">LET CONSTRUCTION         </v>
      </c>
      <c r="I617" t="str">
        <f>CLEAN("CONS/REPLACE BOX CULVERT C-11-3005 ")</f>
        <v xml:space="preserve">CONS/REPLACE BOX CULVERT C-11-3005 </v>
      </c>
      <c r="J617" t="str">
        <f>CLEAN("STH 078")</f>
        <v>STH 078</v>
      </c>
      <c r="K617" t="str">
        <f>CLEAN("COLUMBIA                      ")</f>
        <v xml:space="preserve">COLUMBIA                      </v>
      </c>
      <c r="L617" t="str">
        <f>CLEAN("SAUK CITY - IH 39                  ")</f>
        <v xml:space="preserve">SAUK CITY - IH 39                  </v>
      </c>
      <c r="M617" t="str">
        <f>CLEAN("BOX CULVERT C-11-3005              ")</f>
        <v xml:space="preserve">BOX CULVERT C-11-3005              </v>
      </c>
      <c r="N617">
        <v>0.104</v>
      </c>
      <c r="O617" t="str">
        <f>CLEAN("5630-06-73")</f>
        <v>5630-06-73</v>
      </c>
      <c r="P617" t="str">
        <f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618" spans="1:16" x14ac:dyDescent="0.25">
      <c r="A618" t="str">
        <f t="shared" si="205"/>
        <v>10</v>
      </c>
      <c r="B618" t="str">
        <f t="shared" si="207"/>
        <v>21</v>
      </c>
      <c r="C618" s="1">
        <v>46137</v>
      </c>
      <c r="D618" t="str">
        <f>CLEAN("5640-04-22")</f>
        <v>5640-04-22</v>
      </c>
      <c r="E618" t="str">
        <f>CLEAN("303  ")</f>
        <v xml:space="preserve">303  </v>
      </c>
      <c r="F618" t="str">
        <f>CLEAN("$500,000 - $749,999      ")</f>
        <v xml:space="preserve">$500,000 - $749,999      </v>
      </c>
      <c r="G618" t="str">
        <f>CLEAN("R/E")</f>
        <v>R/E</v>
      </c>
      <c r="H618" t="str">
        <f>CLEAN("NONLET CONSTR/REAL ESTATE")</f>
        <v>NONLET CONSTR/REAL ESTATE</v>
      </c>
      <c r="I618" t="str">
        <f>CLEAN("REAL ESTATE                        ")</f>
        <v xml:space="preserve">REAL ESTATE                        </v>
      </c>
      <c r="J618" t="str">
        <f>CLEAN("STH 113")</f>
        <v>STH 113</v>
      </c>
      <c r="K618" t="str">
        <f>CLEAN("COLUMBIA                      ")</f>
        <v xml:space="preserve">COLUMBIA                      </v>
      </c>
      <c r="L618" t="str">
        <f>CLEAN("LODI - BARABOO                     ")</f>
        <v xml:space="preserve">LODI - BARABOO                     </v>
      </c>
      <c r="M618" t="str">
        <f>CLEAN("CTH J TO STH 188                   ")</f>
        <v xml:space="preserve">CTH J TO STH 188                   </v>
      </c>
      <c r="N618">
        <v>4.8600000000000003</v>
      </c>
      <c r="O618" t="str">
        <f t="shared" ref="O618:O627" si="210">CLEAN("          ")</f>
        <v xml:space="preserve">          </v>
      </c>
      <c r="P618" t="str">
        <f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619" spans="1:16" x14ac:dyDescent="0.25">
      <c r="A619" t="str">
        <f t="shared" si="205"/>
        <v>10</v>
      </c>
      <c r="B619" t="str">
        <f t="shared" si="207"/>
        <v>21</v>
      </c>
      <c r="C619" s="1">
        <v>46245</v>
      </c>
      <c r="D619" t="str">
        <f>CLEAN("5650-00-72")</f>
        <v>5650-00-72</v>
      </c>
      <c r="E619" t="str">
        <f>CLEAN("206  ")</f>
        <v xml:space="preserve">206  </v>
      </c>
      <c r="F619" t="str">
        <f>CLEAN("$500,000 - $749,999      ")</f>
        <v xml:space="preserve">$500,000 - $749,999      </v>
      </c>
      <c r="G619" t="str">
        <f>CLEAN("LET")</f>
        <v>LET</v>
      </c>
      <c r="H619" t="str">
        <f>CLEAN("LET CONSTRUCTION         ")</f>
        <v xml:space="preserve">LET CONSTRUCTION         </v>
      </c>
      <c r="I619" t="str">
        <f>CLEAN("CONST OPS/PAVEMENT REPLACEMENT     ")</f>
        <v xml:space="preserve">CONST OPS/PAVEMENT REPLACEMENT     </v>
      </c>
      <c r="J619" t="str">
        <f>CLEAN("LOC STR")</f>
        <v>LOC STR</v>
      </c>
      <c r="K619" t="str">
        <f>CLEAN("ROCK                          ")</f>
        <v xml:space="preserve">ROCK                          </v>
      </c>
      <c r="L619" t="str">
        <f>CLEAN("C EDGERTON,GEAR DR/TOWER DR/ARTISAN")</f>
        <v>C EDGERTON,GEAR DR/TOWER DR/ARTISAN</v>
      </c>
      <c r="M619" t="str">
        <f>CLEAN("MARSHVIEW CT. TO W FULTON ST.      ")</f>
        <v xml:space="preserve">MARSHVIEW CT. TO W FULTON ST.      </v>
      </c>
      <c r="N619">
        <v>0.51</v>
      </c>
      <c r="O619" t="str">
        <f t="shared" si="210"/>
        <v xml:space="preserve">          </v>
      </c>
      <c r="P619" t="str">
        <f>CLEAN("STP URBAN 5,000 - 20,000                                                                            ")</f>
        <v xml:space="preserve">STP URBAN 5,000 - 20,000                                                                            </v>
      </c>
    </row>
    <row r="620" spans="1:16" x14ac:dyDescent="0.25">
      <c r="A620" t="str">
        <f t="shared" si="205"/>
        <v>10</v>
      </c>
      <c r="B620" t="str">
        <f t="shared" si="207"/>
        <v>21</v>
      </c>
      <c r="C620" s="1">
        <v>46167</v>
      </c>
      <c r="D620" t="str">
        <f>CLEAN("5666-00-79")</f>
        <v>5666-00-79</v>
      </c>
      <c r="E620" t="str">
        <f>CLEAN("290  ")</f>
        <v xml:space="preserve">290  </v>
      </c>
      <c r="F620" t="str">
        <f>CLEAN("$5,000,000 - $5,999,999  ")</f>
        <v xml:space="preserve">$5,000,000 - $5,999,999  </v>
      </c>
      <c r="G620" t="str">
        <f>CLEAN("LLC")</f>
        <v>LLC</v>
      </c>
      <c r="H620" t="str">
        <f>CLEAN("NONLET CONSTR/REAL ESTATE")</f>
        <v>NONLET CONSTR/REAL ESTATE</v>
      </c>
      <c r="I620" t="str">
        <f>CLEAN("PEDESTRIAN TRAIL                   ")</f>
        <v xml:space="preserve">PEDESTRIAN TRAIL                   </v>
      </c>
      <c r="J620" t="str">
        <f>CLEAN("NON HWY")</f>
        <v>NON HWY</v>
      </c>
      <c r="K620" t="str">
        <f>CLEAN("DANE                          ")</f>
        <v xml:space="preserve">DANE                          </v>
      </c>
      <c r="L620" t="str">
        <f>CLEAN("T MAZOMANIE, WALKING IRON TRAIL    ")</f>
        <v xml:space="preserve">T MAZOMANIE, WALKING IRON TRAIL    </v>
      </c>
      <c r="M620" t="str">
        <f>CLEAN("CEDAR CREST DR TO STH 78           ")</f>
        <v xml:space="preserve">CEDAR CREST DR TO STH 78           </v>
      </c>
      <c r="N620">
        <v>0</v>
      </c>
      <c r="O620" t="str">
        <f t="shared" si="210"/>
        <v xml:space="preserve">          </v>
      </c>
      <c r="P620" t="str">
        <f>CLEAN("TAP &lt; 5,000                                                                                         ")</f>
        <v xml:space="preserve">TAP &lt; 5,000                                                                                         </v>
      </c>
    </row>
    <row r="621" spans="1:16" x14ac:dyDescent="0.25">
      <c r="A621" t="str">
        <f t="shared" si="205"/>
        <v>10</v>
      </c>
      <c r="B621" t="str">
        <f t="shared" si="207"/>
        <v>21</v>
      </c>
      <c r="C621" s="1">
        <v>46167</v>
      </c>
      <c r="D621" t="str">
        <f>CLEAN("5670-02-20")</f>
        <v>5670-02-20</v>
      </c>
      <c r="E621" t="str">
        <f>CLEAN("303  ")</f>
        <v xml:space="preserve">303  </v>
      </c>
      <c r="F621" t="str">
        <f>CLEAN("$0 - $99,999             ")</f>
        <v xml:space="preserve">$0 - $99,999             </v>
      </c>
      <c r="G621" t="str">
        <f>CLEAN("R/E")</f>
        <v>R/E</v>
      </c>
      <c r="H621" t="str">
        <f>CLEAN("NONLET CONSTR/REAL ESTATE")</f>
        <v>NONLET CONSTR/REAL ESTATE</v>
      </c>
      <c r="I621" t="str">
        <f>CLEAN("R/E OPERATIONS/PVRPLA              ")</f>
        <v xml:space="preserve">R/E OPERATIONS/PVRPLA              </v>
      </c>
      <c r="J621" t="str">
        <f>CLEAN("STH 059")</f>
        <v>STH 059</v>
      </c>
      <c r="K621" t="str">
        <f>CLEAN("ROCK                          ")</f>
        <v xml:space="preserve">ROCK                          </v>
      </c>
      <c r="L621" t="str">
        <f>CLEAN("C EVANSVILLE, MADISON STREET       ")</f>
        <v xml:space="preserve">C EVANSVILLE, MADISON STREET       </v>
      </c>
      <c r="M621" t="str">
        <f>CLEAN("GARRISON DRIVE TO USH 14           ")</f>
        <v xml:space="preserve">GARRISON DRIVE TO USH 14           </v>
      </c>
      <c r="N621">
        <v>0.96499999999999997</v>
      </c>
      <c r="O621" t="str">
        <f t="shared" si="210"/>
        <v xml:space="preserve">          </v>
      </c>
      <c r="P621" t="str">
        <f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622" spans="1:16" x14ac:dyDescent="0.25">
      <c r="A622" t="str">
        <f t="shared" si="205"/>
        <v>10</v>
      </c>
      <c r="B622" t="str">
        <f t="shared" si="207"/>
        <v>21</v>
      </c>
      <c r="C622" s="1">
        <v>46063</v>
      </c>
      <c r="D622" t="str">
        <f>CLEAN("5678-00-74")</f>
        <v>5678-00-74</v>
      </c>
      <c r="E622" t="str">
        <f>CLEAN("205  ")</f>
        <v xml:space="preserve">205  </v>
      </c>
      <c r="F622" t="str">
        <f>CLEAN("$500,000 - $749,999      ")</f>
        <v xml:space="preserve">$500,000 - $749,999      </v>
      </c>
      <c r="G622" t="str">
        <f>CLEAN("LET")</f>
        <v>LET</v>
      </c>
      <c r="H622" t="str">
        <f>CLEAN("LET CONSTRUCTION         ")</f>
        <v xml:space="preserve">LET CONSTRUCTION         </v>
      </c>
      <c r="I622" t="str">
        <f>CLEAN("CONST OPS/BRIDGE REPLACEMENT       ")</f>
        <v xml:space="preserve">CONST OPS/BRIDGE REPLACEMENT       </v>
      </c>
      <c r="J622" t="str">
        <f>CLEAN("CTH W  ")</f>
        <v xml:space="preserve">CTH W  </v>
      </c>
      <c r="K622" t="str">
        <f>CLEAN("SAUK                          ")</f>
        <v xml:space="preserve">SAUK                          </v>
      </c>
      <c r="L622" t="str">
        <f>CLEAN("CTH I - USH 12 (CTH W)             ")</f>
        <v xml:space="preserve">CTH I - USH 12 (CTH W)             </v>
      </c>
      <c r="M622" t="str">
        <f>CLEAN("SKILLET CREEK BRIDGE B-56-0246     ")</f>
        <v xml:space="preserve">SKILLET CREEK BRIDGE B-56-0246     </v>
      </c>
      <c r="N622">
        <v>1.6E-2</v>
      </c>
      <c r="O622" t="str">
        <f t="shared" si="210"/>
        <v xml:space="preserve">          </v>
      </c>
      <c r="P622" t="str">
        <f>CLEAN("LOCAL BRIDGES                                                                                       ")</f>
        <v xml:space="preserve">LOCAL BRIDGES                                                                                       </v>
      </c>
    </row>
    <row r="623" spans="1:16" x14ac:dyDescent="0.25">
      <c r="A623" t="str">
        <f t="shared" si="205"/>
        <v>10</v>
      </c>
      <c r="B623" t="str">
        <f t="shared" si="207"/>
        <v>21</v>
      </c>
      <c r="C623" s="1">
        <v>46259</v>
      </c>
      <c r="D623" t="str">
        <f>CLEAN("5680-01-20")</f>
        <v>5680-01-20</v>
      </c>
      <c r="E623" t="str">
        <f>CLEAN("303  ")</f>
        <v xml:space="preserve">303  </v>
      </c>
      <c r="F623" t="str">
        <f>CLEAN("$0 - $99,999             ")</f>
        <v xml:space="preserve">$0 - $99,999             </v>
      </c>
      <c r="G623" t="str">
        <f>CLEAN("R/E")</f>
        <v>R/E</v>
      </c>
      <c r="H623" t="str">
        <f>CLEAN("NONLET CONSTR/REAL ESTATE")</f>
        <v>NONLET CONSTR/REAL ESTATE</v>
      </c>
      <c r="I623" t="str">
        <f>CLEAN("R/E OPERATIONS/ RECST              ")</f>
        <v xml:space="preserve">R/E OPERATIONS/ RECST              </v>
      </c>
      <c r="J623" t="str">
        <f>CLEAN("STH 060")</f>
        <v>STH 060</v>
      </c>
      <c r="K623" t="str">
        <f>CLEAN("SAUK                          ")</f>
        <v xml:space="preserve">SAUK                          </v>
      </c>
      <c r="L623" t="str">
        <f>CLEAN("SPRING GREEN - SAUK CITY           ")</f>
        <v xml:space="preserve">SPRING GREEN - SAUK CITY           </v>
      </c>
      <c r="M623" t="str">
        <f>CLEAN("CURVE 0.4 MI WEST OF CTH C         ")</f>
        <v xml:space="preserve">CURVE 0.4 MI WEST OF CTH C         </v>
      </c>
      <c r="N623">
        <v>1.0049999999999999</v>
      </c>
      <c r="O623" t="str">
        <f t="shared" si="210"/>
        <v xml:space="preserve">          </v>
      </c>
      <c r="P623" t="str">
        <f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624" spans="1:16" x14ac:dyDescent="0.25">
      <c r="A624" t="str">
        <f t="shared" si="205"/>
        <v>10</v>
      </c>
      <c r="B624" t="str">
        <f t="shared" si="207"/>
        <v>21</v>
      </c>
      <c r="C624" s="1">
        <v>46259</v>
      </c>
      <c r="D624" t="str">
        <f>CLEAN("5680-01-21")</f>
        <v>5680-01-21</v>
      </c>
      <c r="E624" t="str">
        <f>CLEAN("303  ")</f>
        <v xml:space="preserve">303  </v>
      </c>
      <c r="F624" t="str">
        <f>CLEAN("$0 - $99,999             ")</f>
        <v xml:space="preserve">$0 - $99,999             </v>
      </c>
      <c r="G624" t="str">
        <f>CLEAN("R/E")</f>
        <v>R/E</v>
      </c>
      <c r="H624" t="str">
        <f>CLEAN("NONLET CONSTR/REAL ESTATE")</f>
        <v>NONLET CONSTR/REAL ESTATE</v>
      </c>
      <c r="I624" t="str">
        <f>CLEAN("R/E OPERATIONS/RECST               ")</f>
        <v xml:space="preserve">R/E OPERATIONS/RECST               </v>
      </c>
      <c r="J624" t="str">
        <f>CLEAN("STH 060")</f>
        <v>STH 060</v>
      </c>
      <c r="K624" t="str">
        <f>CLEAN("SAUK                          ")</f>
        <v xml:space="preserve">SAUK                          </v>
      </c>
      <c r="L624" t="str">
        <f>CLEAN("SPRING GREEN - SAUK CITY           ")</f>
        <v xml:space="preserve">SPRING GREEN - SAUK CITY           </v>
      </c>
      <c r="M624" t="str">
        <f>CLEAN("CURVE 0.05 MI WEST OF WILLIAMS ROAD")</f>
        <v>CURVE 0.05 MI WEST OF WILLIAMS ROAD</v>
      </c>
      <c r="N624">
        <v>1.0049999999999999</v>
      </c>
      <c r="O624" t="str">
        <f t="shared" si="210"/>
        <v xml:space="preserve">          </v>
      </c>
      <c r="P624" t="str">
        <f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625" spans="1:16" x14ac:dyDescent="0.25">
      <c r="A625" t="str">
        <f t="shared" si="205"/>
        <v>10</v>
      </c>
      <c r="B625" t="str">
        <f t="shared" si="207"/>
        <v>21</v>
      </c>
      <c r="C625" s="1">
        <v>46035</v>
      </c>
      <c r="D625" t="str">
        <f>CLEAN("5681-00-73")</f>
        <v>5681-00-73</v>
      </c>
      <c r="E625" t="str">
        <f>CLEAN("205  ")</f>
        <v xml:space="preserve">205  </v>
      </c>
      <c r="F625" t="str">
        <f>CLEAN("$1,000,000 - $1,999,999  ")</f>
        <v xml:space="preserve">$1,000,000 - $1,999,999  </v>
      </c>
      <c r="G625" t="str">
        <f t="shared" ref="G625:G630" si="211">CLEAN("LET")</f>
        <v>LET</v>
      </c>
      <c r="H625" t="str">
        <f t="shared" ref="H625:H630" si="212">CLEAN("LET CONSTRUCTION         ")</f>
        <v xml:space="preserve">LET CONSTRUCTION         </v>
      </c>
      <c r="I625" t="str">
        <f>CLEAN("CONST OPS/BRIDGE REPLACEMENT       ")</f>
        <v xml:space="preserve">CONST OPS/BRIDGE REPLACEMENT       </v>
      </c>
      <c r="J625" t="str">
        <f>CLEAN("CTH E  ")</f>
        <v xml:space="preserve">CTH E  </v>
      </c>
      <c r="K625" t="str">
        <f>CLEAN("IOWA                          ")</f>
        <v xml:space="preserve">IOWA                          </v>
      </c>
      <c r="L625" t="str">
        <f>CLEAN("T MIFFLIN - T LINDEN (CTH E)       ")</f>
        <v xml:space="preserve">T MIFFLIN - T LINDEN (CTH E)       </v>
      </c>
      <c r="M625" t="str">
        <f>CLEAN("E PECATONICA RIVER BRIDGE B-25-0199")</f>
        <v>E PECATONICA RIVER BRIDGE B-25-0199</v>
      </c>
      <c r="N625">
        <v>0</v>
      </c>
      <c r="O625" t="str">
        <f t="shared" si="210"/>
        <v xml:space="preserve">          </v>
      </c>
      <c r="P625" t="str">
        <f>CLEAN("LOCAL BRIDGES                                                                                       ")</f>
        <v xml:space="preserve">LOCAL BRIDGES                                                                                       </v>
      </c>
    </row>
    <row r="626" spans="1:16" x14ac:dyDescent="0.25">
      <c r="A626" t="str">
        <f t="shared" si="205"/>
        <v>10</v>
      </c>
      <c r="B626" t="str">
        <f t="shared" si="207"/>
        <v>21</v>
      </c>
      <c r="C626" s="1">
        <v>46245</v>
      </c>
      <c r="D626" t="str">
        <f>CLEAN("5687-00-74")</f>
        <v>5687-00-74</v>
      </c>
      <c r="E626" t="str">
        <f>CLEAN("205  ")</f>
        <v xml:space="preserve">205  </v>
      </c>
      <c r="F626" t="str">
        <f>CLEAN("$500,000 - $749,999      ")</f>
        <v xml:space="preserve">$500,000 - $749,999      </v>
      </c>
      <c r="G626" t="str">
        <f t="shared" si="211"/>
        <v>LET</v>
      </c>
      <c r="H626" t="str">
        <f t="shared" si="212"/>
        <v xml:space="preserve">LET CONSTRUCTION         </v>
      </c>
      <c r="I626" t="str">
        <f>CLEAN("CONST OPS/BRIDGE REPLACEMENT       ")</f>
        <v xml:space="preserve">CONST OPS/BRIDGE REPLACEMENT       </v>
      </c>
      <c r="J626" t="str">
        <f>CLEAN("LOC STR")</f>
        <v>LOC STR</v>
      </c>
      <c r="K626" t="str">
        <f>CLEAN("GREEN                         ")</f>
        <v xml:space="preserve">GREEN                         </v>
      </c>
      <c r="L626" t="str">
        <f>CLEAN("TOWN OF JEFFERSON, TWIN GROVE ROAD ")</f>
        <v xml:space="preserve">TOWN OF JEFFERSON, TWIN GROVE ROAD </v>
      </c>
      <c r="M626" t="str">
        <f>CLEAN("BR RICHLAND CREEK BRIDGE B-23-0182 ")</f>
        <v xml:space="preserve">BR RICHLAND CREEK BRIDGE B-23-0182 </v>
      </c>
      <c r="N626">
        <v>1.2E-2</v>
      </c>
      <c r="O626" t="str">
        <f t="shared" si="210"/>
        <v xml:space="preserve">          </v>
      </c>
      <c r="P626" t="str">
        <f>CLEAN("LOCAL BRIDGES                                                                                       ")</f>
        <v xml:space="preserve">LOCAL BRIDGES                                                                                       </v>
      </c>
    </row>
    <row r="627" spans="1:16" x14ac:dyDescent="0.25">
      <c r="A627" t="str">
        <f t="shared" si="205"/>
        <v>10</v>
      </c>
      <c r="B627" t="str">
        <f t="shared" si="207"/>
        <v>21</v>
      </c>
      <c r="C627" s="1">
        <v>46245</v>
      </c>
      <c r="D627" t="str">
        <f>CLEAN("5695-00-73")</f>
        <v>5695-00-73</v>
      </c>
      <c r="E627" t="str">
        <f>CLEAN("205  ")</f>
        <v xml:space="preserve">205  </v>
      </c>
      <c r="F627" t="str">
        <f>CLEAN("$750,000 - $999,999      ")</f>
        <v xml:space="preserve">$750,000 - $999,999      </v>
      </c>
      <c r="G627" t="str">
        <f t="shared" si="211"/>
        <v>LET</v>
      </c>
      <c r="H627" t="str">
        <f t="shared" si="212"/>
        <v xml:space="preserve">LET CONSTRUCTION         </v>
      </c>
      <c r="I627" t="str">
        <f>CLEAN("CONST OPS/BRIDGE REPLACEMENT       ")</f>
        <v xml:space="preserve">CONST OPS/BRIDGE REPLACEMENT       </v>
      </c>
      <c r="J627" t="str">
        <f>CLEAN("LOC STR")</f>
        <v>LOC STR</v>
      </c>
      <c r="K627" t="str">
        <f>CLEAN("LAFAYETTE                     ")</f>
        <v xml:space="preserve">LAFAYETTE                     </v>
      </c>
      <c r="L627" t="str">
        <f>CLEAN("TOWN OF OF WIOTA, CISSERVILLE ROAD ")</f>
        <v xml:space="preserve">TOWN OF OF WIOTA, CISSERVILLE ROAD </v>
      </c>
      <c r="M627" t="str">
        <f>CLEAN("E BRANCH PECATONICA BR B-33-0145   ")</f>
        <v xml:space="preserve">E BRANCH PECATONICA BR B-33-0145   </v>
      </c>
      <c r="N627">
        <v>2.7E-2</v>
      </c>
      <c r="O627" t="str">
        <f t="shared" si="210"/>
        <v xml:space="preserve">          </v>
      </c>
      <c r="P627" t="str">
        <f>CLEAN("LOCAL BRIDGES                                                                                       ")</f>
        <v xml:space="preserve">LOCAL BRIDGES                                                                                       </v>
      </c>
    </row>
    <row r="628" spans="1:16" x14ac:dyDescent="0.25">
      <c r="A628" t="str">
        <f t="shared" si="205"/>
        <v>10</v>
      </c>
      <c r="B628" t="str">
        <f t="shared" si="207"/>
        <v>21</v>
      </c>
      <c r="C628" s="1">
        <v>46126</v>
      </c>
      <c r="D628" t="str">
        <f>CLEAN("5710-00-72")</f>
        <v>5710-00-72</v>
      </c>
      <c r="E628" t="str">
        <f>CLEAN("303  ")</f>
        <v xml:space="preserve">303  </v>
      </c>
      <c r="F628" t="str">
        <f>CLEAN("$7,000,000 - $7,999,999  ")</f>
        <v xml:space="preserve">$7,000,000 - $7,999,999  </v>
      </c>
      <c r="G628" t="str">
        <f t="shared" si="211"/>
        <v>LET</v>
      </c>
      <c r="H628" t="str">
        <f t="shared" si="212"/>
        <v xml:space="preserve">LET CONSTRUCTION         </v>
      </c>
      <c r="I628" t="str">
        <f>CLEAN("CON/MILL &amp; O'LAY,B62-51,-238/PVRPLA")</f>
        <v>CON/MILL &amp; O'LAY,B62-51,-238/PVRPLA</v>
      </c>
      <c r="J628" t="str">
        <f>CLEAN("STH 082")</f>
        <v>STH 082</v>
      </c>
      <c r="K628" t="str">
        <f>CLEAN("VERNON                        ")</f>
        <v xml:space="preserve">VERNON                        </v>
      </c>
      <c r="L628" t="str">
        <f>CLEAN("LAFARGE - HILLSBORO                ")</f>
        <v xml:space="preserve">LAFARGE - HILLSBORO                </v>
      </c>
      <c r="M628" t="str">
        <f>CLEAN("KICKAPOO RIVER TO STH 33           ")</f>
        <v xml:space="preserve">KICKAPOO RIVER TO STH 33           </v>
      </c>
      <c r="N628">
        <v>15.99</v>
      </c>
      <c r="O628" t="str">
        <f>CLEAN("5710-00-73")</f>
        <v>5710-00-73</v>
      </c>
      <c r="P628" t="str">
        <f>CLEAN("SHR BRIDGES                                                                                         ")</f>
        <v xml:space="preserve">SHR BRIDGES                                                                                         </v>
      </c>
    </row>
    <row r="629" spans="1:16" x14ac:dyDescent="0.25">
      <c r="A629" t="str">
        <f t="shared" si="205"/>
        <v>10</v>
      </c>
      <c r="B629" t="str">
        <f t="shared" si="207"/>
        <v>21</v>
      </c>
      <c r="C629" s="1">
        <v>46126</v>
      </c>
      <c r="D629" t="str">
        <f>CLEAN("5710-00-72")</f>
        <v>5710-00-72</v>
      </c>
      <c r="E629" t="str">
        <f>CLEAN("303  ")</f>
        <v xml:space="preserve">303  </v>
      </c>
      <c r="F629" t="str">
        <f>CLEAN("$7,000,000 - $7,999,999  ")</f>
        <v xml:space="preserve">$7,000,000 - $7,999,999  </v>
      </c>
      <c r="G629" t="str">
        <f t="shared" si="211"/>
        <v>LET</v>
      </c>
      <c r="H629" t="str">
        <f t="shared" si="212"/>
        <v xml:space="preserve">LET CONSTRUCTION         </v>
      </c>
      <c r="I629" t="str">
        <f>CLEAN("CON/MILL &amp; O'LAY,B62-51,-238/PVRPLA")</f>
        <v>CON/MILL &amp; O'LAY,B62-51,-238/PVRPLA</v>
      </c>
      <c r="J629" t="str">
        <f>CLEAN("STH 082")</f>
        <v>STH 082</v>
      </c>
      <c r="K629" t="str">
        <f>CLEAN("VERNON                        ")</f>
        <v xml:space="preserve">VERNON                        </v>
      </c>
      <c r="L629" t="str">
        <f>CLEAN("LAFARGE - HILLSBORO                ")</f>
        <v xml:space="preserve">LAFARGE - HILLSBORO                </v>
      </c>
      <c r="M629" t="str">
        <f>CLEAN("KICKAPOO RIVER TO STH 33           ")</f>
        <v xml:space="preserve">KICKAPOO RIVER TO STH 33           </v>
      </c>
      <c r="N629">
        <v>15.99</v>
      </c>
      <c r="O629" t="str">
        <f>CLEAN("5710-00-73")</f>
        <v>5710-00-73</v>
      </c>
      <c r="P629" t="str">
        <f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630" spans="1:16" x14ac:dyDescent="0.25">
      <c r="A630" t="str">
        <f t="shared" si="205"/>
        <v>10</v>
      </c>
      <c r="B630" t="str">
        <f t="shared" si="207"/>
        <v>21</v>
      </c>
      <c r="C630" s="1">
        <v>46126</v>
      </c>
      <c r="D630" t="str">
        <f>CLEAN("5710-00-73")</f>
        <v>5710-00-73</v>
      </c>
      <c r="E630" t="str">
        <f>CLEAN("303  ")</f>
        <v xml:space="preserve">303  </v>
      </c>
      <c r="F630" t="str">
        <f>CLEAN("$250,000 - $499,999      ")</f>
        <v xml:space="preserve">$250,000 - $499,999      </v>
      </c>
      <c r="G630" t="str">
        <f t="shared" si="211"/>
        <v>LET</v>
      </c>
      <c r="H630" t="str">
        <f t="shared" si="212"/>
        <v xml:space="preserve">LET CONSTRUCTION         </v>
      </c>
      <c r="I630" t="str">
        <f>CLEAN("CONST/ CURB &amp; GUTTER/ PVRPL        ")</f>
        <v xml:space="preserve">CONST/ CURB &amp; GUTTER/ PVRPL        </v>
      </c>
      <c r="J630" t="str">
        <f>CLEAN("STH 082")</f>
        <v>STH 082</v>
      </c>
      <c r="K630" t="str">
        <f>CLEAN("VERNON                        ")</f>
        <v xml:space="preserve">VERNON                        </v>
      </c>
      <c r="L630" t="str">
        <f>CLEAN("LAFARGE - HILLSBORO                ")</f>
        <v xml:space="preserve">LAFARGE - HILLSBORO                </v>
      </c>
      <c r="M630" t="str">
        <f>CLEAN("KICKAPOO RIVER TO MAPLE ST         ")</f>
        <v xml:space="preserve">KICKAPOO RIVER TO MAPLE ST         </v>
      </c>
      <c r="N630">
        <v>0.39600000000000002</v>
      </c>
      <c r="O630" t="str">
        <f>CLEAN("5710-00-72")</f>
        <v>5710-00-72</v>
      </c>
      <c r="P630" t="str">
        <f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631" spans="1:16" x14ac:dyDescent="0.25">
      <c r="A631" t="str">
        <f t="shared" si="205"/>
        <v>10</v>
      </c>
      <c r="B631" t="str">
        <f t="shared" si="207"/>
        <v>21</v>
      </c>
      <c r="C631" s="1">
        <v>46228</v>
      </c>
      <c r="D631" t="str">
        <f>CLEAN("5722-00-74")</f>
        <v>5722-00-74</v>
      </c>
      <c r="E631" t="str">
        <f>CLEAN("290  ")</f>
        <v xml:space="preserve">290  </v>
      </c>
      <c r="F631" t="str">
        <f>CLEAN("$2,000,000 - $2,999,999  ")</f>
        <v xml:space="preserve">$2,000,000 - $2,999,999  </v>
      </c>
      <c r="G631" t="str">
        <f>CLEAN("LLC")</f>
        <v>LLC</v>
      </c>
      <c r="H631" t="str">
        <f>CLEAN("NONLET CONSTR/REAL ESTATE")</f>
        <v>NONLET CONSTR/REAL ESTATE</v>
      </c>
      <c r="I631" t="str">
        <f>CLEAN("PEDESTRIAN/BICYCLE TRAIL           ")</f>
        <v xml:space="preserve">PEDESTRIAN/BICYCLE TRAIL           </v>
      </c>
      <c r="J631" t="str">
        <f>CLEAN("NON HWY")</f>
        <v>NON HWY</v>
      </c>
      <c r="K631" t="str">
        <f>CLEAN("GRANT                         ")</f>
        <v xml:space="preserve">GRANT                         </v>
      </c>
      <c r="L631" t="str">
        <f>CLEAN("C BOSCOBEL, MULTI-USE PATH         ")</f>
        <v xml:space="preserve">C BOSCOBEL, MULTI-USE PATH         </v>
      </c>
      <c r="M631" t="str">
        <f>CLEAN("WSOR RR TO RIVER VIEW LANE         ")</f>
        <v xml:space="preserve">WSOR RR TO RIVER VIEW LANE         </v>
      </c>
      <c r="N631">
        <v>0.874</v>
      </c>
      <c r="O631" t="str">
        <f>CLEAN("          ")</f>
        <v xml:space="preserve">          </v>
      </c>
      <c r="P631" t="str">
        <f>CLEAN("TAP &lt; 5,000                                                                                         ")</f>
        <v xml:space="preserve">TAP &lt; 5,000                                                                                         </v>
      </c>
    </row>
    <row r="632" spans="1:16" x14ac:dyDescent="0.25">
      <c r="A632" t="str">
        <f t="shared" si="205"/>
        <v>10</v>
      </c>
      <c r="B632" t="str">
        <f t="shared" si="207"/>
        <v>21</v>
      </c>
      <c r="C632" s="1">
        <v>46245</v>
      </c>
      <c r="D632" t="str">
        <f>CLEAN("5730-00-64")</f>
        <v>5730-00-64</v>
      </c>
      <c r="E632" t="str">
        <f>CLEAN("303  ")</f>
        <v xml:space="preserve">303  </v>
      </c>
      <c r="F632" t="str">
        <f>CLEAN("$7,000,000 - $7,999,999  ")</f>
        <v xml:space="preserve">$7,000,000 - $7,999,999  </v>
      </c>
      <c r="G632" t="str">
        <f t="shared" ref="G632:G637" si="213">CLEAN("LET")</f>
        <v>LET</v>
      </c>
      <c r="H632" t="str">
        <f t="shared" ref="H632:H637" si="214">CLEAN("LET CONSTRUCTION         ")</f>
        <v xml:space="preserve">LET CONSTRUCTION         </v>
      </c>
      <c r="I632" t="str">
        <f>CLEAN("CONST / PVRPLA                     ")</f>
        <v xml:space="preserve">CONST / PVRPLA                     </v>
      </c>
      <c r="J632" t="str">
        <f>CLEAN("STH 056")</f>
        <v>STH 056</v>
      </c>
      <c r="K632" t="str">
        <f>CLEAN("RICHLAND                      ")</f>
        <v xml:space="preserve">RICHLAND                      </v>
      </c>
      <c r="L632" t="str">
        <f>CLEAN("VIROQUA - RICHLAND CENTER          ")</f>
        <v xml:space="preserve">VIROQUA - RICHLAND CENTER          </v>
      </c>
      <c r="M632" t="str">
        <f>CLEAN("S JCN STH 131 TO FANCY CK B-52-223 ")</f>
        <v xml:space="preserve">S JCN STH 131 TO FANCY CK B-52-223 </v>
      </c>
      <c r="N632">
        <v>10.321</v>
      </c>
      <c r="O632" t="str">
        <f>CLEAN("          ")</f>
        <v xml:space="preserve">          </v>
      </c>
      <c r="P632" t="str">
        <f>CLEAN("SAFETY (REGULAR HSIP)                                                                               ")</f>
        <v xml:space="preserve">SAFETY (REGULAR HSIP)                                                                               </v>
      </c>
    </row>
    <row r="633" spans="1:16" x14ac:dyDescent="0.25">
      <c r="A633" t="str">
        <f t="shared" si="205"/>
        <v>10</v>
      </c>
      <c r="B633" t="str">
        <f t="shared" si="207"/>
        <v>21</v>
      </c>
      <c r="C633" s="1">
        <v>46245</v>
      </c>
      <c r="D633" t="str">
        <f>CLEAN("5730-00-64")</f>
        <v>5730-00-64</v>
      </c>
      <c r="E633" t="str">
        <f>CLEAN("303  ")</f>
        <v xml:space="preserve">303  </v>
      </c>
      <c r="F633" t="str">
        <f>CLEAN("$7,000,000 - $7,999,999  ")</f>
        <v xml:space="preserve">$7,000,000 - $7,999,999  </v>
      </c>
      <c r="G633" t="str">
        <f t="shared" si="213"/>
        <v>LET</v>
      </c>
      <c r="H633" t="str">
        <f t="shared" si="214"/>
        <v xml:space="preserve">LET CONSTRUCTION         </v>
      </c>
      <c r="I633" t="str">
        <f>CLEAN("CONST / PVRPLA                     ")</f>
        <v xml:space="preserve">CONST / PVRPLA                     </v>
      </c>
      <c r="J633" t="str">
        <f>CLEAN("STH 056")</f>
        <v>STH 056</v>
      </c>
      <c r="K633" t="str">
        <f>CLEAN("RICHLAND                      ")</f>
        <v xml:space="preserve">RICHLAND                      </v>
      </c>
      <c r="L633" t="str">
        <f>CLEAN("VIROQUA - RICHLAND CENTER          ")</f>
        <v xml:space="preserve">VIROQUA - RICHLAND CENTER          </v>
      </c>
      <c r="M633" t="str">
        <f>CLEAN("S JCN STH 131 TO FANCY CK B-52-223 ")</f>
        <v xml:space="preserve">S JCN STH 131 TO FANCY CK B-52-223 </v>
      </c>
      <c r="N633">
        <v>10.321</v>
      </c>
      <c r="O633" t="str">
        <f>CLEAN("          ")</f>
        <v xml:space="preserve">          </v>
      </c>
      <c r="P633" t="str">
        <f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634" spans="1:16" x14ac:dyDescent="0.25">
      <c r="A634" t="str">
        <f t="shared" si="205"/>
        <v>10</v>
      </c>
      <c r="B634" t="str">
        <f t="shared" si="207"/>
        <v>21</v>
      </c>
      <c r="C634" s="1">
        <v>46126</v>
      </c>
      <c r="D634" t="str">
        <f>CLEAN("5755-00-73")</f>
        <v>5755-00-73</v>
      </c>
      <c r="E634" t="str">
        <f>CLEAN("206  ")</f>
        <v xml:space="preserve">206  </v>
      </c>
      <c r="F634" t="str">
        <f>CLEAN("$750,000 - $999,999      ")</f>
        <v xml:space="preserve">$750,000 - $999,999      </v>
      </c>
      <c r="G634" t="str">
        <f t="shared" si="213"/>
        <v>LET</v>
      </c>
      <c r="H634" t="str">
        <f t="shared" si="214"/>
        <v xml:space="preserve">LET CONSTRUCTION         </v>
      </c>
      <c r="I634" t="str">
        <f>CLEAN("CONST/LEFT TURN LANES/MONOTUBE/MISC")</f>
        <v>CONST/LEFT TURN LANES/MONOTUBE/MISC</v>
      </c>
      <c r="J634" t="str">
        <f>CLEAN("CTH Q  ")</f>
        <v xml:space="preserve">CTH Q  </v>
      </c>
      <c r="K634" t="str">
        <f>CLEAN("ROCK                          ")</f>
        <v xml:space="preserve">ROCK                          </v>
      </c>
      <c r="L634" t="str">
        <f>CLEAN("STH 213 TO THE ROCK RIVER          ")</f>
        <v xml:space="preserve">STH 213 TO THE ROCK RIVER          </v>
      </c>
      <c r="M634" t="str">
        <f>CLEAN("CTH D INTERSECTION                 ")</f>
        <v xml:space="preserve">CTH D INTERSECTION                 </v>
      </c>
      <c r="N634">
        <v>0.191</v>
      </c>
      <c r="O634" t="str">
        <f>CLEAN("          ")</f>
        <v xml:space="preserve">          </v>
      </c>
      <c r="P634" t="str">
        <f>CLEAN("SAFETY (REGULAR HSIP)                                                                               ")</f>
        <v xml:space="preserve">SAFETY (REGULAR HSIP)                                                                               </v>
      </c>
    </row>
    <row r="635" spans="1:16" x14ac:dyDescent="0.25">
      <c r="A635" t="str">
        <f t="shared" si="205"/>
        <v>10</v>
      </c>
      <c r="B635" t="str">
        <f t="shared" si="207"/>
        <v>21</v>
      </c>
      <c r="C635" s="1">
        <v>46035</v>
      </c>
      <c r="D635" t="str">
        <f>CLEAN("5760-00-72")</f>
        <v>5760-00-72</v>
      </c>
      <c r="E635" t="str">
        <f t="shared" ref="E635:E641" si="215">CLEAN("303  ")</f>
        <v xml:space="preserve">303  </v>
      </c>
      <c r="F635" t="str">
        <f>CLEAN("$4,000,000 - $4,999,999  ")</f>
        <v xml:space="preserve">$4,000,000 - $4,999,999  </v>
      </c>
      <c r="G635" t="str">
        <f t="shared" si="213"/>
        <v>LET</v>
      </c>
      <c r="H635" t="str">
        <f t="shared" si="214"/>
        <v xml:space="preserve">LET CONSTRUCTION         </v>
      </c>
      <c r="I635" t="str">
        <f>CLEAN("CONST/ MILL AND OVERLAY            ")</f>
        <v xml:space="preserve">CONST/ MILL AND OVERLAY            </v>
      </c>
      <c r="J635" t="str">
        <f t="shared" ref="J635:J640" si="216">CLEAN("STH 130")</f>
        <v>STH 130</v>
      </c>
      <c r="K635" t="str">
        <f>CLEAN("SAUK                          ")</f>
        <v xml:space="preserve">SAUK                          </v>
      </c>
      <c r="L635" t="str">
        <f t="shared" ref="L635:L640" si="217">CLEAN("LONE ROCK - STH 154                ")</f>
        <v xml:space="preserve">LONE ROCK - STH 154                </v>
      </c>
      <c r="M635" t="str">
        <f>CLEAN("WEST JUNCTION CTH B TO STH 154     ")</f>
        <v xml:space="preserve">WEST JUNCTION CTH B TO STH 154     </v>
      </c>
      <c r="N635">
        <v>11.601000000000001</v>
      </c>
      <c r="O635" t="str">
        <f>CLEAN("5760-00-73")</f>
        <v>5760-00-73</v>
      </c>
      <c r="P635" t="str">
        <f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636" spans="1:16" x14ac:dyDescent="0.25">
      <c r="A636" t="str">
        <f t="shared" si="205"/>
        <v>10</v>
      </c>
      <c r="B636" t="str">
        <f t="shared" si="207"/>
        <v>21</v>
      </c>
      <c r="C636" s="1">
        <v>46035</v>
      </c>
      <c r="D636" t="str">
        <f>CLEAN("5760-00-73")</f>
        <v>5760-00-73</v>
      </c>
      <c r="E636" t="str">
        <f t="shared" si="215"/>
        <v xml:space="preserve">303  </v>
      </c>
      <c r="F636" t="str">
        <f>CLEAN("$2,000,000 - $2,999,999  ")</f>
        <v xml:space="preserve">$2,000,000 - $2,999,999  </v>
      </c>
      <c r="G636" t="str">
        <f t="shared" si="213"/>
        <v>LET</v>
      </c>
      <c r="H636" t="str">
        <f t="shared" si="214"/>
        <v xml:space="preserve">LET CONSTRUCTION         </v>
      </c>
      <c r="I636" t="str">
        <f>CLEAN("CONST/PAV'T REPLACE/B-52-20/PVRPLA ")</f>
        <v xml:space="preserve">CONST/PAV'T REPLACE/B-52-20/PVRPLA </v>
      </c>
      <c r="J636" t="str">
        <f t="shared" si="216"/>
        <v>STH 130</v>
      </c>
      <c r="K636" t="str">
        <f>CLEAN("RICHLAND                      ")</f>
        <v xml:space="preserve">RICHLAND                      </v>
      </c>
      <c r="L636" t="str">
        <f t="shared" si="217"/>
        <v xml:space="preserve">LONE ROCK - STH 154                </v>
      </c>
      <c r="M636" t="str">
        <f>CLEAN("USH 14 TO WEST JUNCTION CTH B      ")</f>
        <v xml:space="preserve">USH 14 TO WEST JUNCTION CTH B      </v>
      </c>
      <c r="N636">
        <v>5.9240000000000004</v>
      </c>
      <c r="O636" t="str">
        <f>CLEAN("5760-00-72")</f>
        <v>5760-00-72</v>
      </c>
      <c r="P636" t="str">
        <f>CLEAN("SHR BRIDGES                                                                                         ")</f>
        <v xml:space="preserve">SHR BRIDGES                                                                                         </v>
      </c>
    </row>
    <row r="637" spans="1:16" x14ac:dyDescent="0.25">
      <c r="A637" t="str">
        <f t="shared" si="205"/>
        <v>10</v>
      </c>
      <c r="B637" t="str">
        <f t="shared" si="207"/>
        <v>21</v>
      </c>
      <c r="C637" s="1">
        <v>46035</v>
      </c>
      <c r="D637" t="str">
        <f>CLEAN("5760-00-73")</f>
        <v>5760-00-73</v>
      </c>
      <c r="E637" t="str">
        <f t="shared" si="215"/>
        <v xml:space="preserve">303  </v>
      </c>
      <c r="F637" t="str">
        <f>CLEAN("$2,000,000 - $2,999,999  ")</f>
        <v xml:space="preserve">$2,000,000 - $2,999,999  </v>
      </c>
      <c r="G637" t="str">
        <f t="shared" si="213"/>
        <v>LET</v>
      </c>
      <c r="H637" t="str">
        <f t="shared" si="214"/>
        <v xml:space="preserve">LET CONSTRUCTION         </v>
      </c>
      <c r="I637" t="str">
        <f>CLEAN("CONST/PAV'T REPLACE/B-52-20/PVRPLA ")</f>
        <v xml:space="preserve">CONST/PAV'T REPLACE/B-52-20/PVRPLA </v>
      </c>
      <c r="J637" t="str">
        <f t="shared" si="216"/>
        <v>STH 130</v>
      </c>
      <c r="K637" t="str">
        <f>CLEAN("RICHLAND                      ")</f>
        <v xml:space="preserve">RICHLAND                      </v>
      </c>
      <c r="L637" t="str">
        <f t="shared" si="217"/>
        <v xml:space="preserve">LONE ROCK - STH 154                </v>
      </c>
      <c r="M637" t="str">
        <f>CLEAN("USH 14 TO WEST JUNCTION CTH B      ")</f>
        <v xml:space="preserve">USH 14 TO WEST JUNCTION CTH B      </v>
      </c>
      <c r="N637">
        <v>5.9240000000000004</v>
      </c>
      <c r="O637" t="str">
        <f>CLEAN("5760-00-72")</f>
        <v>5760-00-72</v>
      </c>
      <c r="P637" t="str">
        <f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638" spans="1:16" x14ac:dyDescent="0.25">
      <c r="A638" t="str">
        <f t="shared" si="205"/>
        <v>10</v>
      </c>
      <c r="B638" t="str">
        <f t="shared" si="207"/>
        <v>21</v>
      </c>
      <c r="C638" s="1">
        <v>45955</v>
      </c>
      <c r="D638" t="str">
        <f>CLEAN("5770-02-50")</f>
        <v>5770-02-50</v>
      </c>
      <c r="E638" t="str">
        <f t="shared" si="215"/>
        <v xml:space="preserve">303  </v>
      </c>
      <c r="F638" t="str">
        <f>CLEAN("$100,000-$249,999        ")</f>
        <v xml:space="preserve">$100,000-$249,999        </v>
      </c>
      <c r="G638" t="str">
        <f>CLEAN("R/R")</f>
        <v>R/R</v>
      </c>
      <c r="H638" t="str">
        <f>CLEAN("NONLET CONSTR/REAL ESTATE")</f>
        <v>NONLET CONSTR/REAL ESTATE</v>
      </c>
      <c r="I638" t="str">
        <f>CLEAN("RR/WSOR CROSSING SURFACE/RSRF      ")</f>
        <v xml:space="preserve">RR/WSOR CROSSING SURFACE/RSRF      </v>
      </c>
      <c r="J638" t="str">
        <f t="shared" si="216"/>
        <v>STH 130</v>
      </c>
      <c r="K638" t="str">
        <f>CLEAN("RICHLAND                      ")</f>
        <v xml:space="preserve">RICHLAND                      </v>
      </c>
      <c r="L638" t="str">
        <f t="shared" si="217"/>
        <v xml:space="preserve">LONE ROCK - STH 154                </v>
      </c>
      <c r="M638" t="str">
        <f>CLEAN("WISCONSIN RIVER TO USH 14          ")</f>
        <v xml:space="preserve">WISCONSIN RIVER TO USH 14          </v>
      </c>
      <c r="N638">
        <v>0</v>
      </c>
      <c r="O638" t="str">
        <f t="shared" ref="O638:O657" si="218">CLEAN("          ")</f>
        <v xml:space="preserve">          </v>
      </c>
      <c r="P638" t="str">
        <f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639" spans="1:16" x14ac:dyDescent="0.25">
      <c r="A639" t="str">
        <f t="shared" si="205"/>
        <v>10</v>
      </c>
      <c r="B639" t="str">
        <f t="shared" si="207"/>
        <v>21</v>
      </c>
      <c r="C639" s="1">
        <v>45955</v>
      </c>
      <c r="D639" t="str">
        <f>CLEAN("5770-02-51")</f>
        <v>5770-02-51</v>
      </c>
      <c r="E639" t="str">
        <f t="shared" si="215"/>
        <v xml:space="preserve">303  </v>
      </c>
      <c r="F639" t="str">
        <f>CLEAN("$250,000 - $499,999      ")</f>
        <v xml:space="preserve">$250,000 - $499,999      </v>
      </c>
      <c r="G639" t="str">
        <f>CLEAN("R/R")</f>
        <v>R/R</v>
      </c>
      <c r="H639" t="str">
        <f>CLEAN("NONLET CONSTR/REAL ESTATE")</f>
        <v>NONLET CONSTR/REAL ESTATE</v>
      </c>
      <c r="I639" t="str">
        <f>CLEAN("RR/WSOR CROSSING SIGNALS/RSRF      ")</f>
        <v xml:space="preserve">RR/WSOR CROSSING SIGNALS/RSRF      </v>
      </c>
      <c r="J639" t="str">
        <f t="shared" si="216"/>
        <v>STH 130</v>
      </c>
      <c r="K639" t="str">
        <f>CLEAN("RICHLAND                      ")</f>
        <v xml:space="preserve">RICHLAND                      </v>
      </c>
      <c r="L639" t="str">
        <f t="shared" si="217"/>
        <v xml:space="preserve">LONE ROCK - STH 154                </v>
      </c>
      <c r="M639" t="str">
        <f>CLEAN("WISCONSIN RIVER TO USH 14          ")</f>
        <v xml:space="preserve">WISCONSIN RIVER TO USH 14          </v>
      </c>
      <c r="N639">
        <v>0</v>
      </c>
      <c r="O639" t="str">
        <f t="shared" si="218"/>
        <v xml:space="preserve">          </v>
      </c>
      <c r="P639" t="str">
        <f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640" spans="1:16" x14ac:dyDescent="0.25">
      <c r="A640" t="str">
        <f t="shared" si="205"/>
        <v>10</v>
      </c>
      <c r="B640" t="str">
        <f t="shared" si="207"/>
        <v>21</v>
      </c>
      <c r="C640" s="1">
        <v>46126</v>
      </c>
      <c r="D640" t="str">
        <f>CLEAN("5770-02-71")</f>
        <v>5770-02-71</v>
      </c>
      <c r="E640" t="str">
        <f t="shared" si="215"/>
        <v xml:space="preserve">303  </v>
      </c>
      <c r="F640" t="str">
        <f>CLEAN("$750,000 - $999,999      ")</f>
        <v xml:space="preserve">$750,000 - $999,999      </v>
      </c>
      <c r="G640" t="str">
        <f t="shared" ref="G640:G647" si="219">CLEAN("LET")</f>
        <v>LET</v>
      </c>
      <c r="H640" t="str">
        <f t="shared" ref="H640:H647" si="220">CLEAN("LET CONSTRUCTION         ")</f>
        <v xml:space="preserve">LET CONSTRUCTION         </v>
      </c>
      <c r="I640" t="str">
        <f>CLEAN("CONST/MILL &amp; O'LAY/RSRF            ")</f>
        <v xml:space="preserve">CONST/MILL &amp; O'LAY/RSRF            </v>
      </c>
      <c r="J640" t="str">
        <f t="shared" si="216"/>
        <v>STH 130</v>
      </c>
      <c r="K640" t="str">
        <f>CLEAN("RICHLAND                      ")</f>
        <v xml:space="preserve">RICHLAND                      </v>
      </c>
      <c r="L640" t="str">
        <f t="shared" si="217"/>
        <v xml:space="preserve">LONE ROCK - STH 154                </v>
      </c>
      <c r="M640" t="str">
        <f>CLEAN("WISCONSIN RIVER TO USH 14          ")</f>
        <v xml:space="preserve">WISCONSIN RIVER TO USH 14          </v>
      </c>
      <c r="N640">
        <v>1.3380000000000001</v>
      </c>
      <c r="O640" t="str">
        <f t="shared" si="218"/>
        <v xml:space="preserve">          </v>
      </c>
      <c r="P640" t="str">
        <f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641" spans="1:16" x14ac:dyDescent="0.25">
      <c r="A641" t="str">
        <f t="shared" si="205"/>
        <v>10</v>
      </c>
      <c r="B641" t="str">
        <f t="shared" si="207"/>
        <v>21</v>
      </c>
      <c r="C641" s="1">
        <v>45881</v>
      </c>
      <c r="D641" t="str">
        <f>CLEAN("5780-03-63")</f>
        <v>5780-03-63</v>
      </c>
      <c r="E641" t="str">
        <f t="shared" si="215"/>
        <v xml:space="preserve">303  </v>
      </c>
      <c r="F641" t="str">
        <f>CLEAN("$250,000 - $499,999      ")</f>
        <v xml:space="preserve">$250,000 - $499,999      </v>
      </c>
      <c r="G641" t="str">
        <f t="shared" si="219"/>
        <v>LET</v>
      </c>
      <c r="H641" t="str">
        <f t="shared" si="220"/>
        <v xml:space="preserve">LET CONSTRUCTION         </v>
      </c>
      <c r="I641" t="str">
        <f>CLEAN("CONST/MILL &amp; OVERLAY/PSRS          ")</f>
        <v xml:space="preserve">CONST/MILL &amp; OVERLAY/PSRS          </v>
      </c>
      <c r="J641" t="str">
        <f>CLEAN("STH 131")</f>
        <v>STH 131</v>
      </c>
      <c r="K641" t="str">
        <f>CLEAN("CRAWFORD                      ")</f>
        <v xml:space="preserve">CRAWFORD                      </v>
      </c>
      <c r="L641" t="str">
        <f>CLEAN("WAUZEKA - SOLDIERS GROVE           ")</f>
        <v xml:space="preserve">WAUZEKA - SOLDIERS GROVE           </v>
      </c>
      <c r="M641" t="str">
        <f>CLEAN("KICKAPOO RIVER B-12-172 TO USH 61  ")</f>
        <v xml:space="preserve">KICKAPOO RIVER B-12-172 TO USH 61  </v>
      </c>
      <c r="N641">
        <v>0.45900000000000002</v>
      </c>
      <c r="O641" t="str">
        <f t="shared" si="218"/>
        <v xml:space="preserve">          </v>
      </c>
      <c r="P641" t="str">
        <f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642" spans="1:16" x14ac:dyDescent="0.25">
      <c r="A642" t="str">
        <f t="shared" si="205"/>
        <v>10</v>
      </c>
      <c r="B642" t="str">
        <f t="shared" si="207"/>
        <v>21</v>
      </c>
      <c r="C642" s="1">
        <v>45909</v>
      </c>
      <c r="D642" t="str">
        <f>CLEAN("5786-00-70")</f>
        <v>5786-00-70</v>
      </c>
      <c r="E642" t="str">
        <f>CLEAN("205  ")</f>
        <v xml:space="preserve">205  </v>
      </c>
      <c r="F642" t="str">
        <f>CLEAN("$250,000 - $499,999      ")</f>
        <v xml:space="preserve">$250,000 - $499,999      </v>
      </c>
      <c r="G642" t="str">
        <f t="shared" si="219"/>
        <v>LET</v>
      </c>
      <c r="H642" t="str">
        <f t="shared" si="220"/>
        <v xml:space="preserve">LET CONSTRUCTION         </v>
      </c>
      <c r="I642" t="str">
        <f>CLEAN("CONST OPS/BRIDGE REPLACEMENT       ")</f>
        <v xml:space="preserve">CONST OPS/BRIDGE REPLACEMENT       </v>
      </c>
      <c r="J642" t="str">
        <f>CLEAN("LOC STR")</f>
        <v>LOC STR</v>
      </c>
      <c r="K642" t="str">
        <f>CLEAN("SAUK                          ")</f>
        <v xml:space="preserve">SAUK                          </v>
      </c>
      <c r="L642" t="str">
        <f>CLEAN("TOWN OF LAVALLE, STOUT ROAD        ")</f>
        <v xml:space="preserve">TOWN OF LAVALLE, STOUT ROAD        </v>
      </c>
      <c r="M642" t="str">
        <f>CLEAN("CROSSMAN CREEK BRIDGE B-56-0248    ")</f>
        <v xml:space="preserve">CROSSMAN CREEK BRIDGE B-56-0248    </v>
      </c>
      <c r="N642">
        <v>2.7E-2</v>
      </c>
      <c r="O642" t="str">
        <f t="shared" si="218"/>
        <v xml:space="preserve">          </v>
      </c>
      <c r="P642" t="str">
        <f>CLEAN("LOCAL BRIDGES                                                                                       ")</f>
        <v xml:space="preserve">LOCAL BRIDGES                                                                                       </v>
      </c>
    </row>
    <row r="643" spans="1:16" x14ac:dyDescent="0.25">
      <c r="A643" t="str">
        <f t="shared" si="205"/>
        <v>10</v>
      </c>
      <c r="B643" t="str">
        <f t="shared" si="207"/>
        <v>21</v>
      </c>
      <c r="C643" s="1">
        <v>46126</v>
      </c>
      <c r="D643" t="str">
        <f>CLEAN("5786-00-74")</f>
        <v>5786-00-74</v>
      </c>
      <c r="E643" t="str">
        <f>CLEAN("205  ")</f>
        <v xml:space="preserve">205  </v>
      </c>
      <c r="F643" t="str">
        <f>CLEAN("$250,000 - $499,999      ")</f>
        <v xml:space="preserve">$250,000 - $499,999      </v>
      </c>
      <c r="G643" t="str">
        <f t="shared" si="219"/>
        <v>LET</v>
      </c>
      <c r="H643" t="str">
        <f t="shared" si="220"/>
        <v xml:space="preserve">LET CONSTRUCTION         </v>
      </c>
      <c r="I643" t="str">
        <f>CLEAN("CONST/BRIDGE REPLACEMENT           ")</f>
        <v xml:space="preserve">CONST/BRIDGE REPLACEMENT           </v>
      </c>
      <c r="J643" t="str">
        <f>CLEAN("LOC STR")</f>
        <v>LOC STR</v>
      </c>
      <c r="K643" t="str">
        <f>CLEAN("SAUK                          ")</f>
        <v xml:space="preserve">SAUK                          </v>
      </c>
      <c r="L643" t="str">
        <f>CLEAN("T LAVALLE, SMITH ROAD              ")</f>
        <v xml:space="preserve">T LAVALLE, SMITH ROAD              </v>
      </c>
      <c r="M643" t="str">
        <f>CLEAN("LAKE REDSTONE TRIB BRIDGE B-56-0254")</f>
        <v>LAKE REDSTONE TRIB BRIDGE B-56-0254</v>
      </c>
      <c r="N643">
        <v>2.8000000000000001E-2</v>
      </c>
      <c r="O643" t="str">
        <f t="shared" si="218"/>
        <v xml:space="preserve">          </v>
      </c>
      <c r="P643" t="str">
        <f>CLEAN("LOCAL BRIDGES                                                                                       ")</f>
        <v xml:space="preserve">LOCAL BRIDGES                                                                                       </v>
      </c>
    </row>
    <row r="644" spans="1:16" x14ac:dyDescent="0.25">
      <c r="A644" t="str">
        <f t="shared" si="205"/>
        <v>10</v>
      </c>
      <c r="B644" t="str">
        <f t="shared" si="207"/>
        <v>21</v>
      </c>
      <c r="C644" s="1">
        <v>46154</v>
      </c>
      <c r="D644" t="str">
        <f>CLEAN("5788-00-76")</f>
        <v>5788-00-76</v>
      </c>
      <c r="E644" t="str">
        <f>CLEAN("205  ")</f>
        <v xml:space="preserve">205  </v>
      </c>
      <c r="F644" t="str">
        <f>CLEAN("$500,000 - $749,999      ")</f>
        <v xml:space="preserve">$500,000 - $749,999      </v>
      </c>
      <c r="G644" t="str">
        <f t="shared" si="219"/>
        <v>LET</v>
      </c>
      <c r="H644" t="str">
        <f t="shared" si="220"/>
        <v xml:space="preserve">LET CONSTRUCTION         </v>
      </c>
      <c r="I644" t="str">
        <f>CLEAN("CONST/BRIDGE REPLACEMENT           ")</f>
        <v xml:space="preserve">CONST/BRIDGE REPLACEMENT           </v>
      </c>
      <c r="J644" t="str">
        <f>CLEAN("LOC STR")</f>
        <v>LOC STR</v>
      </c>
      <c r="K644" t="str">
        <f>CLEAN("ROCK                          ")</f>
        <v xml:space="preserve">ROCK                          </v>
      </c>
      <c r="L644" t="str">
        <f>CLEAN("T NEWARK, CLEOPHAS ROAD            ")</f>
        <v xml:space="preserve">T NEWARK, CLEOPHAS ROAD            </v>
      </c>
      <c r="M644" t="str">
        <f>CLEAN("RACCOON CREEK BRIDGE B-53-0391     ")</f>
        <v xml:space="preserve">RACCOON CREEK BRIDGE B-53-0391     </v>
      </c>
      <c r="N644">
        <v>7.4999999999999997E-2</v>
      </c>
      <c r="O644" t="str">
        <f t="shared" si="218"/>
        <v xml:space="preserve">          </v>
      </c>
      <c r="P644" t="str">
        <f>CLEAN("LOCAL BRIDGES                                                                                       ")</f>
        <v xml:space="preserve">LOCAL BRIDGES                                                                                       </v>
      </c>
    </row>
    <row r="645" spans="1:16" x14ac:dyDescent="0.25">
      <c r="A645" t="str">
        <f t="shared" si="205"/>
        <v>10</v>
      </c>
      <c r="B645" t="str">
        <f t="shared" si="207"/>
        <v>21</v>
      </c>
      <c r="C645" s="1">
        <v>45881</v>
      </c>
      <c r="D645" t="str">
        <f>CLEAN("5790-02-72")</f>
        <v>5790-02-72</v>
      </c>
      <c r="E645" t="str">
        <f>CLEAN("303  ")</f>
        <v xml:space="preserve">303  </v>
      </c>
      <c r="F645" t="str">
        <f>CLEAN("$8,000,000 - $8,999,999  ")</f>
        <v xml:space="preserve">$8,000,000 - $8,999,999  </v>
      </c>
      <c r="G645" t="str">
        <f t="shared" si="219"/>
        <v>LET</v>
      </c>
      <c r="H645" t="str">
        <f t="shared" si="220"/>
        <v xml:space="preserve">LET CONSTRUCTION         </v>
      </c>
      <c r="I645" t="str">
        <f>CLEAN("CONST/B-12-137/PVRPLA              ")</f>
        <v xml:space="preserve">CONST/B-12-137/PVRPLA              </v>
      </c>
      <c r="J645" t="str">
        <f>CLEAN("STH 171")</f>
        <v>STH 171</v>
      </c>
      <c r="K645" t="str">
        <f>CLEAN("CRAWFORD                      ")</f>
        <v xml:space="preserve">CRAWFORD                      </v>
      </c>
      <c r="L645" t="str">
        <f>CLEAN("FERRYVILLE - ROLLING GROUND        ")</f>
        <v xml:space="preserve">FERRYVILLE - ROLLING GROUND        </v>
      </c>
      <c r="M645" t="str">
        <f>CLEAN("STH 27 TO USH 61                   ")</f>
        <v xml:space="preserve">STH 27 TO USH 61                   </v>
      </c>
      <c r="N645">
        <v>11.769</v>
      </c>
      <c r="O645" t="str">
        <f t="shared" si="218"/>
        <v xml:space="preserve">          </v>
      </c>
      <c r="P645" t="str">
        <f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646" spans="1:16" x14ac:dyDescent="0.25">
      <c r="A646" t="str">
        <f t="shared" si="205"/>
        <v>10</v>
      </c>
      <c r="B646" t="str">
        <f t="shared" si="207"/>
        <v>21</v>
      </c>
      <c r="C646" s="1">
        <v>45909</v>
      </c>
      <c r="D646" t="str">
        <f>CLEAN("5829-00-72")</f>
        <v>5829-00-72</v>
      </c>
      <c r="E646" t="str">
        <f>CLEAN("206  ")</f>
        <v xml:space="preserve">206  </v>
      </c>
      <c r="F646" t="str">
        <f>CLEAN("$250,000 - $499,999      ")</f>
        <v xml:space="preserve">$250,000 - $499,999      </v>
      </c>
      <c r="G646" t="str">
        <f t="shared" si="219"/>
        <v>LET</v>
      </c>
      <c r="H646" t="str">
        <f t="shared" si="220"/>
        <v xml:space="preserve">LET CONSTRUCTION         </v>
      </c>
      <c r="I646" t="str">
        <f>CLEAN("CONST OPS/PVRPLA                   ")</f>
        <v xml:space="preserve">CONST OPS/PVRPLA                   </v>
      </c>
      <c r="J646" t="str">
        <f>CLEAN("LOC STR")</f>
        <v>LOC STR</v>
      </c>
      <c r="K646" t="str">
        <f>CLEAN("JUNEAU                        ")</f>
        <v xml:space="preserve">JUNEAU                        </v>
      </c>
      <c r="L646" t="str">
        <f>CLEAN("C NEW LISBON, W BRIDGE STREET      ")</f>
        <v xml:space="preserve">C NEW LISBON, W BRIDGE STREET      </v>
      </c>
      <c r="M646" t="str">
        <f>CLEAN("LEER STREET TO RIVER STREET        ")</f>
        <v xml:space="preserve">LEER STREET TO RIVER STREET        </v>
      </c>
      <c r="N646">
        <v>0.32700000000000001</v>
      </c>
      <c r="O646" t="str">
        <f t="shared" si="218"/>
        <v xml:space="preserve">          </v>
      </c>
      <c r="P646" t="str">
        <f>CLEAN("STP RURAL                                                                                           ")</f>
        <v xml:space="preserve">STP RURAL                                                                                           </v>
      </c>
    </row>
    <row r="647" spans="1:16" x14ac:dyDescent="0.25">
      <c r="A647" t="str">
        <f t="shared" si="205"/>
        <v>10</v>
      </c>
      <c r="B647" t="str">
        <f t="shared" si="207"/>
        <v>21</v>
      </c>
      <c r="C647" s="1">
        <v>46000</v>
      </c>
      <c r="D647" t="str">
        <f>CLEAN("5844-00-75")</f>
        <v>5844-00-75</v>
      </c>
      <c r="E647" t="str">
        <f>CLEAN("205  ")</f>
        <v xml:space="preserve">205  </v>
      </c>
      <c r="F647" t="str">
        <f>CLEAN("$250,000 - $499,999      ")</f>
        <v xml:space="preserve">$250,000 - $499,999      </v>
      </c>
      <c r="G647" t="str">
        <f t="shared" si="219"/>
        <v>LET</v>
      </c>
      <c r="H647" t="str">
        <f t="shared" si="220"/>
        <v xml:space="preserve">LET CONSTRUCTION         </v>
      </c>
      <c r="I647" t="str">
        <f>CLEAN("CONST/BRIDGE REPLACEMENT           ")</f>
        <v xml:space="preserve">CONST/BRIDGE REPLACEMENT           </v>
      </c>
      <c r="J647" t="str">
        <f>CLEAN("CTH JJ ")</f>
        <v xml:space="preserve">CTH JJ </v>
      </c>
      <c r="K647" t="str">
        <f t="shared" ref="K647:K667" si="221">CLEAN("DANE                          ")</f>
        <v xml:space="preserve">DANE                          </v>
      </c>
      <c r="L647" t="str">
        <f>CLEAN("CTH J - STH 78                     ")</f>
        <v xml:space="preserve">CTH J - STH 78                     </v>
      </c>
      <c r="M647" t="str">
        <f>CLEAN("VERMONT CREEK BRIDGE B-13-0928     ")</f>
        <v xml:space="preserve">VERMONT CREEK BRIDGE B-13-0928     </v>
      </c>
      <c r="N647">
        <v>3.3000000000000002E-2</v>
      </c>
      <c r="O647" t="str">
        <f t="shared" si="218"/>
        <v xml:space="preserve">          </v>
      </c>
      <c r="P647" t="str">
        <f>CLEAN("LOCAL BRIDGES                                                                                       ")</f>
        <v xml:space="preserve">LOCAL BRIDGES                                                                                       </v>
      </c>
    </row>
    <row r="648" spans="1:16" x14ac:dyDescent="0.25">
      <c r="A648" t="str">
        <f t="shared" si="205"/>
        <v>10</v>
      </c>
      <c r="B648" t="str">
        <f t="shared" si="207"/>
        <v>21</v>
      </c>
      <c r="C648" s="1">
        <v>45894</v>
      </c>
      <c r="D648" t="str">
        <f>CLEAN("5845-16-25")</f>
        <v>5845-16-25</v>
      </c>
      <c r="E648" t="str">
        <f t="shared" ref="E648:E666" si="222">CLEAN("302  ")</f>
        <v xml:space="preserve">302  </v>
      </c>
      <c r="F648" t="str">
        <f>CLEAN("$500,000 - $749,999      ")</f>
        <v xml:space="preserve">$500,000 - $749,999      </v>
      </c>
      <c r="G648" t="str">
        <f>CLEAN("R/E")</f>
        <v>R/E</v>
      </c>
      <c r="H648" t="str">
        <f t="shared" ref="H648:H657" si="223">CLEAN("NONLET CONSTR/REAL ESTATE")</f>
        <v>NONLET CONSTR/REAL ESTATE</v>
      </c>
      <c r="I648" t="str">
        <f>CLEAN("RE/CONST 5845-16-75/RECST          ")</f>
        <v xml:space="preserve">RE/CONST 5845-16-75/RECST          </v>
      </c>
      <c r="J648" t="str">
        <f t="shared" ref="J648:J666" si="224">CLEAN("USH 051")</f>
        <v>USH 051</v>
      </c>
      <c r="K648" t="str">
        <f t="shared" si="221"/>
        <v xml:space="preserve">DANE                          </v>
      </c>
      <c r="L648" t="str">
        <f t="shared" ref="L648:L666" si="225">CLEAN("STOUGHTON - MADISON                ")</f>
        <v xml:space="preserve">STOUGHTON - MADISON                </v>
      </c>
      <c r="M648" t="str">
        <f>CLEAN("CTH B/AB TO TOWER ROAD             ")</f>
        <v xml:space="preserve">CTH B/AB TO TOWER ROAD             </v>
      </c>
      <c r="N648">
        <v>2.76</v>
      </c>
      <c r="O648" t="str">
        <f t="shared" si="218"/>
        <v xml:space="preserve">          </v>
      </c>
      <c r="P648" t="str">
        <f t="shared" ref="P648:P666" si="226">CLEAN("MAJORS                                                                                              ")</f>
        <v xml:space="preserve">MAJORS                                                                                              </v>
      </c>
    </row>
    <row r="649" spans="1:16" x14ac:dyDescent="0.25">
      <c r="A649" t="str">
        <f t="shared" si="205"/>
        <v>10</v>
      </c>
      <c r="B649" t="str">
        <f t="shared" si="207"/>
        <v>21</v>
      </c>
      <c r="C649" s="1">
        <v>45894</v>
      </c>
      <c r="D649" t="str">
        <f>CLEAN("5845-16-40")</f>
        <v>5845-16-40</v>
      </c>
      <c r="E649" t="str">
        <f t="shared" si="222"/>
        <v xml:space="preserve">302  </v>
      </c>
      <c r="F649" t="str">
        <f>CLEAN("$0 - $99,999             ")</f>
        <v xml:space="preserve">$0 - $99,999             </v>
      </c>
      <c r="G649" t="str">
        <f t="shared" ref="G649:G656" si="227">CLEAN("UTL")</f>
        <v>UTL</v>
      </c>
      <c r="H649" t="str">
        <f t="shared" si="223"/>
        <v>NONLET CONSTR/REAL ESTATE</v>
      </c>
      <c r="I649" t="str">
        <f>CLEAN("UTL/ C STOUGHTON ELECT 206 /RECST  ")</f>
        <v xml:space="preserve">UTL/ C STOUGHTON ELECT 206 /RECST  </v>
      </c>
      <c r="J649" t="str">
        <f t="shared" si="224"/>
        <v>USH 051</v>
      </c>
      <c r="K649" t="str">
        <f t="shared" si="221"/>
        <v xml:space="preserve">DANE                          </v>
      </c>
      <c r="L649" t="str">
        <f t="shared" si="225"/>
        <v xml:space="preserve">STOUGHTON - MADISON                </v>
      </c>
      <c r="M649" t="str">
        <f>CLEAN("ROBY ROAD TO EXCHANGE ST           ")</f>
        <v xml:space="preserve">ROBY ROAD TO EXCHANGE ST           </v>
      </c>
      <c r="N649">
        <v>3.68</v>
      </c>
      <c r="O649" t="str">
        <f t="shared" si="218"/>
        <v xml:space="preserve">          </v>
      </c>
      <c r="P649" t="str">
        <f t="shared" si="226"/>
        <v xml:space="preserve">MAJORS                                                                                              </v>
      </c>
    </row>
    <row r="650" spans="1:16" x14ac:dyDescent="0.25">
      <c r="A650" t="str">
        <f t="shared" si="205"/>
        <v>10</v>
      </c>
      <c r="B650" t="str">
        <f t="shared" si="207"/>
        <v>21</v>
      </c>
      <c r="C650" s="1">
        <v>45894</v>
      </c>
      <c r="D650" t="str">
        <f>CLEAN("5845-16-41")</f>
        <v>5845-16-41</v>
      </c>
      <c r="E650" t="str">
        <f t="shared" si="222"/>
        <v xml:space="preserve">302  </v>
      </c>
      <c r="F650" t="str">
        <f>CLEAN("$0 - $99,999             ")</f>
        <v xml:space="preserve">$0 - $99,999             </v>
      </c>
      <c r="G650" t="str">
        <f t="shared" si="227"/>
        <v>UTL</v>
      </c>
      <c r="H650" t="str">
        <f t="shared" si="223"/>
        <v>NONLET CONSTR/REAL ESTATE</v>
      </c>
      <c r="I650" t="str">
        <f>CLEAN("UTL/TDS METROCOM 204/RECST         ")</f>
        <v xml:space="preserve">UTL/TDS METROCOM 204/RECST         </v>
      </c>
      <c r="J650" t="str">
        <f t="shared" si="224"/>
        <v>USH 051</v>
      </c>
      <c r="K650" t="str">
        <f t="shared" si="221"/>
        <v xml:space="preserve">DANE                          </v>
      </c>
      <c r="L650" t="str">
        <f t="shared" si="225"/>
        <v xml:space="preserve">STOUGHTON - MADISON                </v>
      </c>
      <c r="M650" t="str">
        <f>CLEAN("ROBY ROAD TO S CTH B/AB            ")</f>
        <v xml:space="preserve">ROBY ROAD TO S CTH B/AB            </v>
      </c>
      <c r="N650">
        <v>3.68</v>
      </c>
      <c r="O650" t="str">
        <f t="shared" si="218"/>
        <v xml:space="preserve">          </v>
      </c>
      <c r="P650" t="str">
        <f t="shared" si="226"/>
        <v xml:space="preserve">MAJORS                                                                                              </v>
      </c>
    </row>
    <row r="651" spans="1:16" x14ac:dyDescent="0.25">
      <c r="A651" t="str">
        <f t="shared" si="205"/>
        <v>10</v>
      </c>
      <c r="B651" t="str">
        <f t="shared" si="207"/>
        <v>21</v>
      </c>
      <c r="C651" s="1">
        <v>45894</v>
      </c>
      <c r="D651" t="str">
        <f>CLEAN("5845-16-43")</f>
        <v>5845-16-43</v>
      </c>
      <c r="E651" t="str">
        <f t="shared" si="222"/>
        <v xml:space="preserve">302  </v>
      </c>
      <c r="F651" t="str">
        <f>CLEAN("$0 - $99,999             ")</f>
        <v xml:space="preserve">$0 - $99,999             </v>
      </c>
      <c r="G651" t="str">
        <f t="shared" si="227"/>
        <v>UTL</v>
      </c>
      <c r="H651" t="str">
        <f t="shared" si="223"/>
        <v>NONLET CONSTR/REAL ESTATE</v>
      </c>
      <c r="I651" t="str">
        <f>CLEAN("UTL 201/ FRONTIER /RECST           ")</f>
        <v xml:space="preserve">UTL 201/ FRONTIER /RECST           </v>
      </c>
      <c r="J651" t="str">
        <f t="shared" si="224"/>
        <v>USH 051</v>
      </c>
      <c r="K651" t="str">
        <f t="shared" si="221"/>
        <v xml:space="preserve">DANE                          </v>
      </c>
      <c r="L651" t="str">
        <f t="shared" si="225"/>
        <v xml:space="preserve">STOUGHTON - MADISON                </v>
      </c>
      <c r="M651" t="str">
        <f>CLEAN("TOWER ROAD TO EXCHANGE STREET      ")</f>
        <v xml:space="preserve">TOWER ROAD TO EXCHANGE STREET      </v>
      </c>
      <c r="N651">
        <v>3.4000000000000002E-2</v>
      </c>
      <c r="O651" t="str">
        <f t="shared" si="218"/>
        <v xml:space="preserve">          </v>
      </c>
      <c r="P651" t="str">
        <f t="shared" si="226"/>
        <v xml:space="preserve">MAJORS                                                                                              </v>
      </c>
    </row>
    <row r="652" spans="1:16" x14ac:dyDescent="0.25">
      <c r="A652" t="str">
        <f t="shared" si="205"/>
        <v>10</v>
      </c>
      <c r="B652" t="str">
        <f t="shared" si="207"/>
        <v>21</v>
      </c>
      <c r="C652" s="1">
        <v>45955</v>
      </c>
      <c r="D652" t="str">
        <f>CLEAN("5845-16-45")</f>
        <v>5845-16-45</v>
      </c>
      <c r="E652" t="str">
        <f t="shared" si="222"/>
        <v xml:space="preserve">302  </v>
      </c>
      <c r="F652" t="str">
        <f>CLEAN("$250,000 - $499,999      ")</f>
        <v xml:space="preserve">$250,000 - $499,999      </v>
      </c>
      <c r="G652" t="str">
        <f t="shared" si="227"/>
        <v>UTL</v>
      </c>
      <c r="H652" t="str">
        <f t="shared" si="223"/>
        <v>NONLET CONSTR/REAL ESTATE</v>
      </c>
      <c r="I652" t="str">
        <f>CLEAN("UTL/CONST 5845-16-75/RECST         ")</f>
        <v xml:space="preserve">UTL/CONST 5845-16-75/RECST         </v>
      </c>
      <c r="J652" t="str">
        <f t="shared" si="224"/>
        <v>USH 051</v>
      </c>
      <c r="K652" t="str">
        <f t="shared" si="221"/>
        <v xml:space="preserve">DANE                          </v>
      </c>
      <c r="L652" t="str">
        <f t="shared" si="225"/>
        <v xml:space="preserve">STOUGHTON - MADISON                </v>
      </c>
      <c r="M652" t="str">
        <f>CLEAN("CTH B/AB TO EXCHANGE STREET        ")</f>
        <v xml:space="preserve">CTH B/AB TO EXCHANGE STREET        </v>
      </c>
      <c r="N652">
        <v>2.76</v>
      </c>
      <c r="O652" t="str">
        <f t="shared" si="218"/>
        <v xml:space="preserve">          </v>
      </c>
      <c r="P652" t="str">
        <f t="shared" si="226"/>
        <v xml:space="preserve">MAJORS                                                                                              </v>
      </c>
    </row>
    <row r="653" spans="1:16" x14ac:dyDescent="0.25">
      <c r="A653" t="str">
        <f t="shared" si="205"/>
        <v>10</v>
      </c>
      <c r="B653" t="str">
        <f t="shared" si="207"/>
        <v>21</v>
      </c>
      <c r="C653" s="1">
        <v>45894</v>
      </c>
      <c r="D653" t="str">
        <f>CLEAN("5845-16-46")</f>
        <v>5845-16-46</v>
      </c>
      <c r="E653" t="str">
        <f t="shared" si="222"/>
        <v xml:space="preserve">302  </v>
      </c>
      <c r="F653" t="str">
        <f>CLEAN("$750,000 - $999,999      ")</f>
        <v xml:space="preserve">$750,000 - $999,999      </v>
      </c>
      <c r="G653" t="str">
        <f t="shared" si="227"/>
        <v>UTL</v>
      </c>
      <c r="H653" t="str">
        <f t="shared" si="223"/>
        <v>NONLET CONSTR/REAL ESTATE</v>
      </c>
      <c r="I653" t="str">
        <f>CLEAN("UTL 203/KEGONSA SANITARY/RECST     ")</f>
        <v xml:space="preserve">UTL 203/KEGONSA SANITARY/RECST     </v>
      </c>
      <c r="J653" t="str">
        <f t="shared" si="224"/>
        <v>USH 051</v>
      </c>
      <c r="K653" t="str">
        <f t="shared" si="221"/>
        <v xml:space="preserve">DANE                          </v>
      </c>
      <c r="L653" t="str">
        <f t="shared" si="225"/>
        <v xml:space="preserve">STOUGHTON - MADISON                </v>
      </c>
      <c r="M653" t="str">
        <f>CLEAN("TOWER ROAD TO EXCHANGE STREET      ")</f>
        <v xml:space="preserve">TOWER ROAD TO EXCHANGE STREET      </v>
      </c>
      <c r="N653">
        <v>3.4000000000000002E-2</v>
      </c>
      <c r="O653" t="str">
        <f t="shared" si="218"/>
        <v xml:space="preserve">          </v>
      </c>
      <c r="P653" t="str">
        <f t="shared" si="226"/>
        <v xml:space="preserve">MAJORS                                                                                              </v>
      </c>
    </row>
    <row r="654" spans="1:16" x14ac:dyDescent="0.25">
      <c r="A654" t="str">
        <f t="shared" si="205"/>
        <v>10</v>
      </c>
      <c r="B654" t="str">
        <f t="shared" si="207"/>
        <v>21</v>
      </c>
      <c r="C654" s="1">
        <v>45894</v>
      </c>
      <c r="D654" t="str">
        <f>CLEAN("5845-16-47")</f>
        <v>5845-16-47</v>
      </c>
      <c r="E654" t="str">
        <f t="shared" si="222"/>
        <v xml:space="preserve">302  </v>
      </c>
      <c r="F654" t="str">
        <f>CLEAN("$250,000 - $499,999      ")</f>
        <v xml:space="preserve">$250,000 - $499,999      </v>
      </c>
      <c r="G654" t="str">
        <f t="shared" si="227"/>
        <v>UTL</v>
      </c>
      <c r="H654" t="str">
        <f t="shared" si="223"/>
        <v>NONLET CONSTR/REAL ESTATE</v>
      </c>
      <c r="I654" t="str">
        <f>CLEAN("UTL/DUNN SANITARY DISTRICT 3/RECST ")</f>
        <v xml:space="preserve">UTL/DUNN SANITARY DISTRICT 3/RECST </v>
      </c>
      <c r="J654" t="str">
        <f t="shared" si="224"/>
        <v>USH 051</v>
      </c>
      <c r="K654" t="str">
        <f t="shared" si="221"/>
        <v xml:space="preserve">DANE                          </v>
      </c>
      <c r="L654" t="str">
        <f t="shared" si="225"/>
        <v xml:space="preserve">STOUGHTON - MADISON                </v>
      </c>
      <c r="M654" t="str">
        <f>CLEAN("EXCHANGE ST TO LARSON BEACH RD     ")</f>
        <v xml:space="preserve">EXCHANGE ST TO LARSON BEACH RD     </v>
      </c>
      <c r="N654">
        <v>1.0900000000000001</v>
      </c>
      <c r="O654" t="str">
        <f t="shared" si="218"/>
        <v xml:space="preserve">          </v>
      </c>
      <c r="P654" t="str">
        <f t="shared" si="226"/>
        <v xml:space="preserve">MAJORS                                                                                              </v>
      </c>
    </row>
    <row r="655" spans="1:16" x14ac:dyDescent="0.25">
      <c r="A655" t="str">
        <f t="shared" si="205"/>
        <v>10</v>
      </c>
      <c r="B655" t="str">
        <f t="shared" si="207"/>
        <v>21</v>
      </c>
      <c r="C655" s="1">
        <v>45894</v>
      </c>
      <c r="D655" t="str">
        <f>CLEAN("5845-16-48")</f>
        <v>5845-16-48</v>
      </c>
      <c r="E655" t="str">
        <f t="shared" si="222"/>
        <v xml:space="preserve">302  </v>
      </c>
      <c r="F655" t="str">
        <f>CLEAN("$0 - $99,999             ")</f>
        <v xml:space="preserve">$0 - $99,999             </v>
      </c>
      <c r="G655" t="str">
        <f t="shared" si="227"/>
        <v>UTL</v>
      </c>
      <c r="H655" t="str">
        <f t="shared" si="223"/>
        <v>NONLET CONSTR/REAL ESTATE</v>
      </c>
      <c r="I655" t="str">
        <f>CLEAN("UTL/KEGONSA SANITARY DISTRICT/RECST")</f>
        <v>UTL/KEGONSA SANITARY DISTRICT/RECST</v>
      </c>
      <c r="J655" t="str">
        <f t="shared" si="224"/>
        <v>USH 051</v>
      </c>
      <c r="K655" t="str">
        <f t="shared" si="221"/>
        <v xml:space="preserve">DANE                          </v>
      </c>
      <c r="L655" t="str">
        <f t="shared" si="225"/>
        <v xml:space="preserve">STOUGHTON - MADISON                </v>
      </c>
      <c r="M655" t="str">
        <f>CLEAN("EXCHANGE ST TO LARSON BEACH RD     ")</f>
        <v xml:space="preserve">EXCHANGE ST TO LARSON BEACH RD     </v>
      </c>
      <c r="N655">
        <v>1.0900000000000001</v>
      </c>
      <c r="O655" t="str">
        <f t="shared" si="218"/>
        <v xml:space="preserve">          </v>
      </c>
      <c r="P655" t="str">
        <f t="shared" si="226"/>
        <v xml:space="preserve">MAJORS                                                                                              </v>
      </c>
    </row>
    <row r="656" spans="1:16" x14ac:dyDescent="0.25">
      <c r="A656" t="str">
        <f t="shared" si="205"/>
        <v>10</v>
      </c>
      <c r="B656" t="str">
        <f t="shared" si="207"/>
        <v>21</v>
      </c>
      <c r="C656" s="1">
        <v>45894</v>
      </c>
      <c r="D656" t="str">
        <f>CLEAN("5845-16-49")</f>
        <v>5845-16-49</v>
      </c>
      <c r="E656" t="str">
        <f t="shared" si="222"/>
        <v xml:space="preserve">302  </v>
      </c>
      <c r="F656" t="str">
        <f>CLEAN("$100,000-$249,999        ")</f>
        <v xml:space="preserve">$100,000-$249,999        </v>
      </c>
      <c r="G656" t="str">
        <f t="shared" si="227"/>
        <v>UTL</v>
      </c>
      <c r="H656" t="str">
        <f t="shared" si="223"/>
        <v>NONLET CONSTR/REAL ESTATE</v>
      </c>
      <c r="I656" t="str">
        <f>CLEAN("UTL/MADISON METROPOLITAN SD/RECST  ")</f>
        <v xml:space="preserve">UTL/MADISON METROPOLITAN SD/RECST  </v>
      </c>
      <c r="J656" t="str">
        <f t="shared" si="224"/>
        <v>USH 051</v>
      </c>
      <c r="K656" t="str">
        <f t="shared" si="221"/>
        <v xml:space="preserve">DANE                          </v>
      </c>
      <c r="L656" t="str">
        <f t="shared" si="225"/>
        <v xml:space="preserve">STOUGHTON - MADISON                </v>
      </c>
      <c r="M656" t="str">
        <f>CLEAN("EXCHANGE ST TO LARSON BEACH RD     ")</f>
        <v xml:space="preserve">EXCHANGE ST TO LARSON BEACH RD     </v>
      </c>
      <c r="N656">
        <v>1.0900000000000001</v>
      </c>
      <c r="O656" t="str">
        <f t="shared" si="218"/>
        <v xml:space="preserve">          </v>
      </c>
      <c r="P656" t="str">
        <f t="shared" si="226"/>
        <v xml:space="preserve">MAJORS                                                                                              </v>
      </c>
    </row>
    <row r="657" spans="1:16" x14ac:dyDescent="0.25">
      <c r="A657" t="str">
        <f t="shared" si="205"/>
        <v>10</v>
      </c>
      <c r="B657" t="str">
        <f t="shared" si="207"/>
        <v>21</v>
      </c>
      <c r="C657" s="1">
        <v>45894</v>
      </c>
      <c r="D657" t="str">
        <f>CLEAN("5845-16-53")</f>
        <v>5845-16-53</v>
      </c>
      <c r="E657" t="str">
        <f t="shared" si="222"/>
        <v xml:space="preserve">302  </v>
      </c>
      <c r="F657" t="str">
        <f>CLEAN("$100,000-$249,999        ")</f>
        <v xml:space="preserve">$100,000-$249,999        </v>
      </c>
      <c r="G657" t="str">
        <f>CLEAN("R/R")</f>
        <v>R/R</v>
      </c>
      <c r="H657" t="str">
        <f t="shared" si="223"/>
        <v>NONLET CONSTR/REAL ESTATE</v>
      </c>
      <c r="I657" t="str">
        <f>CLEAN("RR/391684C SIGNALS/RECST           ")</f>
        <v xml:space="preserve">RR/391684C SIGNALS/RECST           </v>
      </c>
      <c r="J657" t="str">
        <f t="shared" si="224"/>
        <v>USH 051</v>
      </c>
      <c r="K657" t="str">
        <f t="shared" si="221"/>
        <v xml:space="preserve">DANE                          </v>
      </c>
      <c r="L657" t="str">
        <f t="shared" si="225"/>
        <v xml:space="preserve">STOUGHTON - MADISON                </v>
      </c>
      <c r="M657" t="str">
        <f>CLEAN("SPRING RD TO FIFTH ST              ")</f>
        <v xml:space="preserve">SPRING RD TO FIFTH ST              </v>
      </c>
      <c r="N657">
        <v>0</v>
      </c>
      <c r="O657" t="str">
        <f t="shared" si="218"/>
        <v xml:space="preserve">          </v>
      </c>
      <c r="P657" t="str">
        <f t="shared" si="226"/>
        <v xml:space="preserve">MAJORS                                                                                              </v>
      </c>
    </row>
    <row r="658" spans="1:16" x14ac:dyDescent="0.25">
      <c r="A658" t="str">
        <f t="shared" si="205"/>
        <v>10</v>
      </c>
      <c r="B658" t="str">
        <f t="shared" si="207"/>
        <v>21</v>
      </c>
      <c r="C658" s="1">
        <v>46035</v>
      </c>
      <c r="D658" t="str">
        <f>CLEAN("5845-16-73")</f>
        <v>5845-16-73</v>
      </c>
      <c r="E658" t="str">
        <f t="shared" si="222"/>
        <v xml:space="preserve">302  </v>
      </c>
      <c r="F658" t="str">
        <f>CLEAN("$12,000,000 - $12,999,999")</f>
        <v>$12,000,000 - $12,999,999</v>
      </c>
      <c r="G658" t="str">
        <f t="shared" ref="G658:G666" si="228">CLEAN("LET")</f>
        <v>LET</v>
      </c>
      <c r="H658" t="str">
        <f t="shared" ref="H658:H666" si="229">CLEAN("LET CONSTRUCTION         ")</f>
        <v xml:space="preserve">LET CONSTRUCTION         </v>
      </c>
      <c r="I658" t="str">
        <f>CLEAN("CONST/RECST                        ")</f>
        <v xml:space="preserve">CONST/RECST                        </v>
      </c>
      <c r="J658" t="str">
        <f t="shared" si="224"/>
        <v>USH 051</v>
      </c>
      <c r="K658" t="str">
        <f t="shared" si="221"/>
        <v xml:space="preserve">DANE                          </v>
      </c>
      <c r="L658" t="str">
        <f t="shared" si="225"/>
        <v xml:space="preserve">STOUGHTON - MADISON                </v>
      </c>
      <c r="M658" t="str">
        <f>CLEAN("HARRISON ST TO ROBY RD             ")</f>
        <v xml:space="preserve">HARRISON ST TO ROBY RD             </v>
      </c>
      <c r="N658">
        <v>1.288</v>
      </c>
      <c r="O658" t="str">
        <f>CLEAN("5845-16-74")</f>
        <v>5845-16-74</v>
      </c>
      <c r="P658" t="str">
        <f t="shared" si="226"/>
        <v xml:space="preserve">MAJORS                                                                                              </v>
      </c>
    </row>
    <row r="659" spans="1:16" x14ac:dyDescent="0.25">
      <c r="A659" t="str">
        <f t="shared" si="205"/>
        <v>10</v>
      </c>
      <c r="B659" t="str">
        <f t="shared" si="207"/>
        <v>21</v>
      </c>
      <c r="C659" s="1">
        <v>46035</v>
      </c>
      <c r="D659" t="str">
        <f>CLEAN("5845-16-73")</f>
        <v>5845-16-73</v>
      </c>
      <c r="E659" t="str">
        <f t="shared" si="222"/>
        <v xml:space="preserve">302  </v>
      </c>
      <c r="F659" t="str">
        <f>CLEAN("$12,000,000 - $12,999,999")</f>
        <v>$12,000,000 - $12,999,999</v>
      </c>
      <c r="G659" t="str">
        <f t="shared" si="228"/>
        <v>LET</v>
      </c>
      <c r="H659" t="str">
        <f t="shared" si="229"/>
        <v xml:space="preserve">LET CONSTRUCTION         </v>
      </c>
      <c r="I659" t="str">
        <f>CLEAN("CONST/RECST                        ")</f>
        <v xml:space="preserve">CONST/RECST                        </v>
      </c>
      <c r="J659" t="str">
        <f t="shared" si="224"/>
        <v>USH 051</v>
      </c>
      <c r="K659" t="str">
        <f t="shared" si="221"/>
        <v xml:space="preserve">DANE                          </v>
      </c>
      <c r="L659" t="str">
        <f t="shared" si="225"/>
        <v xml:space="preserve">STOUGHTON - MADISON                </v>
      </c>
      <c r="M659" t="str">
        <f>CLEAN("HARRISON ST TO ROBY RD             ")</f>
        <v xml:space="preserve">HARRISON ST TO ROBY RD             </v>
      </c>
      <c r="N659">
        <v>1.288</v>
      </c>
      <c r="O659" t="str">
        <f>CLEAN("5845-16-83")</f>
        <v>5845-16-83</v>
      </c>
      <c r="P659" t="str">
        <f t="shared" si="226"/>
        <v xml:space="preserve">MAJORS                                                                                              </v>
      </c>
    </row>
    <row r="660" spans="1:16" x14ac:dyDescent="0.25">
      <c r="A660" t="str">
        <f t="shared" si="205"/>
        <v>10</v>
      </c>
      <c r="B660" t="str">
        <f t="shared" si="207"/>
        <v>21</v>
      </c>
      <c r="C660" s="1">
        <v>46035</v>
      </c>
      <c r="D660" t="str">
        <f>CLEAN("5845-16-74")</f>
        <v>5845-16-74</v>
      </c>
      <c r="E660" t="str">
        <f t="shared" si="222"/>
        <v xml:space="preserve">302  </v>
      </c>
      <c r="F660" t="str">
        <f>CLEAN("$30,000,000 - $34,999,999")</f>
        <v>$30,000,000 - $34,999,999</v>
      </c>
      <c r="G660" t="str">
        <f t="shared" si="228"/>
        <v>LET</v>
      </c>
      <c r="H660" t="str">
        <f t="shared" si="229"/>
        <v xml:space="preserve">LET CONSTRUCTION         </v>
      </c>
      <c r="I660" t="str">
        <f>CLEAN("CONST/RECST                        ")</f>
        <v xml:space="preserve">CONST/RECST                        </v>
      </c>
      <c r="J660" t="str">
        <f t="shared" si="224"/>
        <v>USH 051</v>
      </c>
      <c r="K660" t="str">
        <f t="shared" si="221"/>
        <v xml:space="preserve">DANE                          </v>
      </c>
      <c r="L660" t="str">
        <f t="shared" si="225"/>
        <v xml:space="preserve">STOUGHTON - MADISON                </v>
      </c>
      <c r="M660" t="str">
        <f>CLEAN("ROBY ROAD TO S CTH B/AB            ")</f>
        <v xml:space="preserve">ROBY ROAD TO S CTH B/AB            </v>
      </c>
      <c r="N660">
        <v>3.8</v>
      </c>
      <c r="O660" t="str">
        <f>CLEAN("5845-16-73")</f>
        <v>5845-16-73</v>
      </c>
      <c r="P660" t="str">
        <f t="shared" si="226"/>
        <v xml:space="preserve">MAJORS                                                                                              </v>
      </c>
    </row>
    <row r="661" spans="1:16" x14ac:dyDescent="0.25">
      <c r="A661" t="str">
        <f t="shared" si="205"/>
        <v>10</v>
      </c>
      <c r="B661" t="str">
        <f t="shared" si="207"/>
        <v>21</v>
      </c>
      <c r="C661" s="1">
        <v>46035</v>
      </c>
      <c r="D661" t="str">
        <f>CLEAN("5845-16-74")</f>
        <v>5845-16-74</v>
      </c>
      <c r="E661" t="str">
        <f t="shared" si="222"/>
        <v xml:space="preserve">302  </v>
      </c>
      <c r="F661" t="str">
        <f>CLEAN("$30,000,000 - $34,999,999")</f>
        <v>$30,000,000 - $34,999,999</v>
      </c>
      <c r="G661" t="str">
        <f t="shared" si="228"/>
        <v>LET</v>
      </c>
      <c r="H661" t="str">
        <f t="shared" si="229"/>
        <v xml:space="preserve">LET CONSTRUCTION         </v>
      </c>
      <c r="I661" t="str">
        <f>CLEAN("CONST/RECST                        ")</f>
        <v xml:space="preserve">CONST/RECST                        </v>
      </c>
      <c r="J661" t="str">
        <f t="shared" si="224"/>
        <v>USH 051</v>
      </c>
      <c r="K661" t="str">
        <f t="shared" si="221"/>
        <v xml:space="preserve">DANE                          </v>
      </c>
      <c r="L661" t="str">
        <f t="shared" si="225"/>
        <v xml:space="preserve">STOUGHTON - MADISON                </v>
      </c>
      <c r="M661" t="str">
        <f>CLEAN("ROBY ROAD TO S CTH B/AB            ")</f>
        <v xml:space="preserve">ROBY ROAD TO S CTH B/AB            </v>
      </c>
      <c r="N661">
        <v>3.8</v>
      </c>
      <c r="O661" t="str">
        <f>CLEAN("5845-16-83")</f>
        <v>5845-16-83</v>
      </c>
      <c r="P661" t="str">
        <f t="shared" si="226"/>
        <v xml:space="preserve">MAJORS                                                                                              </v>
      </c>
    </row>
    <row r="662" spans="1:16" x14ac:dyDescent="0.25">
      <c r="A662" t="str">
        <f t="shared" si="205"/>
        <v>10</v>
      </c>
      <c r="B662" t="str">
        <f t="shared" si="207"/>
        <v>21</v>
      </c>
      <c r="C662" s="1">
        <v>46217</v>
      </c>
      <c r="D662" t="str">
        <f>CLEAN("5845-16-76")</f>
        <v>5845-16-76</v>
      </c>
      <c r="E662" t="str">
        <f t="shared" si="222"/>
        <v xml:space="preserve">302  </v>
      </c>
      <c r="F662" t="str">
        <f>CLEAN("$20,000,000 - $24,999,999")</f>
        <v>$20,000,000 - $24,999,999</v>
      </c>
      <c r="G662" t="str">
        <f t="shared" si="228"/>
        <v>LET</v>
      </c>
      <c r="H662" t="str">
        <f t="shared" si="229"/>
        <v xml:space="preserve">LET CONSTRUCTION         </v>
      </c>
      <c r="I662" t="str">
        <f>CLEAN("CONST/REPLACE B-13-907/RECST       ")</f>
        <v xml:space="preserve">CONST/REPLACE B-13-907/RECST       </v>
      </c>
      <c r="J662" t="str">
        <f t="shared" si="224"/>
        <v>USH 051</v>
      </c>
      <c r="K662" t="str">
        <f t="shared" si="221"/>
        <v xml:space="preserve">DANE                          </v>
      </c>
      <c r="L662" t="str">
        <f t="shared" si="225"/>
        <v xml:space="preserve">STOUGHTON - MADISON                </v>
      </c>
      <c r="M662" t="str">
        <f>CLEAN("EXCHANGE ST TO LARSON BEACH RD     ")</f>
        <v xml:space="preserve">EXCHANGE ST TO LARSON BEACH RD     </v>
      </c>
      <c r="N662">
        <v>1.0900000000000001</v>
      </c>
      <c r="O662" t="str">
        <f>CLEAN("5845-16-87")</f>
        <v>5845-16-87</v>
      </c>
      <c r="P662" t="str">
        <f t="shared" si="226"/>
        <v xml:space="preserve">MAJORS                                                                                              </v>
      </c>
    </row>
    <row r="663" spans="1:16" x14ac:dyDescent="0.25">
      <c r="A663" t="str">
        <f t="shared" si="205"/>
        <v>10</v>
      </c>
      <c r="B663" t="str">
        <f t="shared" si="207"/>
        <v>21</v>
      </c>
      <c r="C663" s="1">
        <v>46035</v>
      </c>
      <c r="D663" t="str">
        <f>CLEAN("5845-16-83")</f>
        <v>5845-16-83</v>
      </c>
      <c r="E663" t="str">
        <f t="shared" si="222"/>
        <v xml:space="preserve">302  </v>
      </c>
      <c r="F663" t="str">
        <f>CLEAN("$1,000,000 - $1,999,999  ")</f>
        <v xml:space="preserve">$1,000,000 - $1,999,999  </v>
      </c>
      <c r="G663" t="str">
        <f t="shared" si="228"/>
        <v>LET</v>
      </c>
      <c r="H663" t="str">
        <f t="shared" si="229"/>
        <v xml:space="preserve">LET CONSTRUCTION         </v>
      </c>
      <c r="I663" t="str">
        <f>CLEAN("CONST/SANITARY SEWER &amp; WATER/RECST ")</f>
        <v xml:space="preserve">CONST/SANITARY SEWER &amp; WATER/RECST </v>
      </c>
      <c r="J663" t="str">
        <f t="shared" si="224"/>
        <v>USH 051</v>
      </c>
      <c r="K663" t="str">
        <f t="shared" si="221"/>
        <v xml:space="preserve">DANE                          </v>
      </c>
      <c r="L663" t="str">
        <f t="shared" si="225"/>
        <v xml:space="preserve">STOUGHTON - MADISON                </v>
      </c>
      <c r="M663" t="str">
        <f>CLEAN("HARRISON ST TO ROBY RD             ")</f>
        <v xml:space="preserve">HARRISON ST TO ROBY RD             </v>
      </c>
      <c r="N663">
        <v>0</v>
      </c>
      <c r="O663" t="str">
        <f>CLEAN("5845-16-73")</f>
        <v>5845-16-73</v>
      </c>
      <c r="P663" t="str">
        <f t="shared" si="226"/>
        <v xml:space="preserve">MAJORS                                                                                              </v>
      </c>
    </row>
    <row r="664" spans="1:16" x14ac:dyDescent="0.25">
      <c r="A664" t="str">
        <f t="shared" si="205"/>
        <v>10</v>
      </c>
      <c r="B664" t="str">
        <f t="shared" si="207"/>
        <v>21</v>
      </c>
      <c r="C664" s="1">
        <v>46035</v>
      </c>
      <c r="D664" t="str">
        <f>CLEAN("5845-16-83")</f>
        <v>5845-16-83</v>
      </c>
      <c r="E664" t="str">
        <f t="shared" si="222"/>
        <v xml:space="preserve">302  </v>
      </c>
      <c r="F664" t="str">
        <f>CLEAN("$1,000,000 - $1,999,999  ")</f>
        <v xml:space="preserve">$1,000,000 - $1,999,999  </v>
      </c>
      <c r="G664" t="str">
        <f t="shared" si="228"/>
        <v>LET</v>
      </c>
      <c r="H664" t="str">
        <f t="shared" si="229"/>
        <v xml:space="preserve">LET CONSTRUCTION         </v>
      </c>
      <c r="I664" t="str">
        <f>CLEAN("CONST/SANITARY SEWER &amp; WATER/RECST ")</f>
        <v xml:space="preserve">CONST/SANITARY SEWER &amp; WATER/RECST </v>
      </c>
      <c r="J664" t="str">
        <f t="shared" si="224"/>
        <v>USH 051</v>
      </c>
      <c r="K664" t="str">
        <f t="shared" si="221"/>
        <v xml:space="preserve">DANE                          </v>
      </c>
      <c r="L664" t="str">
        <f t="shared" si="225"/>
        <v xml:space="preserve">STOUGHTON - MADISON                </v>
      </c>
      <c r="M664" t="str">
        <f>CLEAN("HARRISON ST TO ROBY RD             ")</f>
        <v xml:space="preserve">HARRISON ST TO ROBY RD             </v>
      </c>
      <c r="N664">
        <v>0</v>
      </c>
      <c r="O664" t="str">
        <f>CLEAN("5845-16-74")</f>
        <v>5845-16-74</v>
      </c>
      <c r="P664" t="str">
        <f t="shared" si="226"/>
        <v xml:space="preserve">MAJORS                                                                                              </v>
      </c>
    </row>
    <row r="665" spans="1:16" x14ac:dyDescent="0.25">
      <c r="A665" t="str">
        <f t="shared" si="205"/>
        <v>10</v>
      </c>
      <c r="B665" t="str">
        <f t="shared" si="207"/>
        <v>21</v>
      </c>
      <c r="C665" s="1">
        <v>45972</v>
      </c>
      <c r="D665" t="str">
        <f>CLEAN("5845-16-84")</f>
        <v>5845-16-84</v>
      </c>
      <c r="E665" t="str">
        <f t="shared" si="222"/>
        <v xml:space="preserve">302  </v>
      </c>
      <c r="F665" t="str">
        <f>CLEAN("$5,000,000 - $5,999,999  ")</f>
        <v xml:space="preserve">$5,000,000 - $5,999,999  </v>
      </c>
      <c r="G665" t="str">
        <f t="shared" si="228"/>
        <v>LET</v>
      </c>
      <c r="H665" t="str">
        <f t="shared" si="229"/>
        <v xml:space="preserve">LET CONSTRUCTION         </v>
      </c>
      <c r="I665" t="str">
        <f>CLEAN("CONST/RECST                        ")</f>
        <v xml:space="preserve">CONST/RECST                        </v>
      </c>
      <c r="J665" t="str">
        <f t="shared" si="224"/>
        <v>USH 051</v>
      </c>
      <c r="K665" t="str">
        <f t="shared" si="221"/>
        <v xml:space="preserve">DANE                          </v>
      </c>
      <c r="L665" t="str">
        <f t="shared" si="225"/>
        <v xml:space="preserve">STOUGHTON - MADISON                </v>
      </c>
      <c r="M665" t="str">
        <f>CLEAN("TOWER ROAD TO EXCHANGE STREET      ")</f>
        <v xml:space="preserve">TOWER ROAD TO EXCHANGE STREET      </v>
      </c>
      <c r="N665">
        <v>0.64300000000000002</v>
      </c>
      <c r="O665" t="str">
        <f>CLEAN("          ")</f>
        <v xml:space="preserve">          </v>
      </c>
      <c r="P665" t="str">
        <f t="shared" si="226"/>
        <v xml:space="preserve">MAJORS                                                                                              </v>
      </c>
    </row>
    <row r="666" spans="1:16" x14ac:dyDescent="0.25">
      <c r="A666" t="str">
        <f t="shared" si="205"/>
        <v>10</v>
      </c>
      <c r="B666" t="str">
        <f t="shared" si="207"/>
        <v>21</v>
      </c>
      <c r="C666" s="1">
        <v>46217</v>
      </c>
      <c r="D666" t="str">
        <f>CLEAN("5845-16-87")</f>
        <v>5845-16-87</v>
      </c>
      <c r="E666" t="str">
        <f t="shared" si="222"/>
        <v xml:space="preserve">302  </v>
      </c>
      <c r="F666" t="str">
        <f>CLEAN("$1,000,000 - $1,999,999  ")</f>
        <v xml:space="preserve">$1,000,000 - $1,999,999  </v>
      </c>
      <c r="G666" t="str">
        <f t="shared" si="228"/>
        <v>LET</v>
      </c>
      <c r="H666" t="str">
        <f t="shared" si="229"/>
        <v xml:space="preserve">LET CONSTRUCTION         </v>
      </c>
      <c r="I666" t="str">
        <f>CLEAN("CONST/ MMSD/ RECST                 ")</f>
        <v xml:space="preserve">CONST/ MMSD/ RECST                 </v>
      </c>
      <c r="J666" t="str">
        <f t="shared" si="224"/>
        <v>USH 051</v>
      </c>
      <c r="K666" t="str">
        <f t="shared" si="221"/>
        <v xml:space="preserve">DANE                          </v>
      </c>
      <c r="L666" t="str">
        <f t="shared" si="225"/>
        <v xml:space="preserve">STOUGHTON - MADISON                </v>
      </c>
      <c r="M666" t="str">
        <f>CLEAN("EXCHANGE ST TO LARSON BEACH RD     ")</f>
        <v xml:space="preserve">EXCHANGE ST TO LARSON BEACH RD     </v>
      </c>
      <c r="N666">
        <v>1.0760000000000001</v>
      </c>
      <c r="O666" t="str">
        <f>CLEAN("5845-16-76")</f>
        <v>5845-16-76</v>
      </c>
      <c r="P666" t="str">
        <f t="shared" si="226"/>
        <v xml:space="preserve">MAJORS                                                                                              </v>
      </c>
    </row>
    <row r="667" spans="1:16" x14ac:dyDescent="0.25">
      <c r="A667" t="str">
        <f t="shared" ref="A667:A730" si="230">CLEAN("10")</f>
        <v>10</v>
      </c>
      <c r="B667" t="str">
        <f t="shared" si="207"/>
        <v>21</v>
      </c>
      <c r="C667" s="1">
        <v>45955</v>
      </c>
      <c r="D667" t="str">
        <f>CLEAN("5849-00-21")</f>
        <v>5849-00-21</v>
      </c>
      <c r="E667" t="str">
        <f>CLEAN("206  ")</f>
        <v xml:space="preserve">206  </v>
      </c>
      <c r="F667" t="str">
        <f>CLEAN("$0 - $99,999             ")</f>
        <v xml:space="preserve">$0 - $99,999             </v>
      </c>
      <c r="G667" t="str">
        <f>CLEAN("MIS")</f>
        <v>MIS</v>
      </c>
      <c r="H667" t="str">
        <f>CLEAN("NONLET CONSTR/REAL ESTATE")</f>
        <v>NONLET CONSTR/REAL ESTATE</v>
      </c>
      <c r="I667" t="str">
        <f>CLEAN("CONST/CARBON RED-LED LIGHTING      ")</f>
        <v xml:space="preserve">CONST/CARBON RED-LED LIGHTING      </v>
      </c>
      <c r="J667" t="str">
        <f>CLEAN("VAR HWY")</f>
        <v>VAR HWY</v>
      </c>
      <c r="K667" t="str">
        <f t="shared" si="221"/>
        <v xml:space="preserve">DANE                          </v>
      </c>
      <c r="L667" t="str">
        <f>CLEAN("C FITCHBURG, LED STREET LIGHTS     ")</f>
        <v xml:space="preserve">C FITCHBURG, LED STREET LIGHTS     </v>
      </c>
      <c r="M667" t="str">
        <f>CLEAN("VARIOUS LOCATIONS - C FITCHBURG    ")</f>
        <v xml:space="preserve">VARIOUS LOCATIONS - C FITCHBURG    </v>
      </c>
      <c r="N667">
        <v>0</v>
      </c>
      <c r="O667" t="str">
        <f>CLEAN("          ")</f>
        <v xml:space="preserve">          </v>
      </c>
      <c r="P667" t="str">
        <f>CLEAN("CARBON REDUCTION OVER 200,000                                                                       ")</f>
        <v xml:space="preserve">CARBON REDUCTION OVER 200,000                                                                       </v>
      </c>
    </row>
    <row r="668" spans="1:16" x14ac:dyDescent="0.25">
      <c r="A668" t="str">
        <f t="shared" si="230"/>
        <v>10</v>
      </c>
      <c r="B668" t="str">
        <f t="shared" si="207"/>
        <v>21</v>
      </c>
      <c r="C668" s="1">
        <v>45972</v>
      </c>
      <c r="D668" t="str">
        <f>CLEAN("5852-00-76")</f>
        <v>5852-00-76</v>
      </c>
      <c r="E668" t="str">
        <f>CLEAN("206  ")</f>
        <v xml:space="preserve">206  </v>
      </c>
      <c r="F668" t="str">
        <f>CLEAN("$750,000 - $999,999      ")</f>
        <v xml:space="preserve">$750,000 - $999,999      </v>
      </c>
      <c r="G668" t="str">
        <f>CLEAN("LET")</f>
        <v>LET</v>
      </c>
      <c r="H668" t="str">
        <f>CLEAN("LET CONSTRUCTION         ")</f>
        <v xml:space="preserve">LET CONSTRUCTION         </v>
      </c>
      <c r="I668" t="str">
        <f>CLEAN("CONST OPS/PAVEMENT REPLACEMENT     ")</f>
        <v xml:space="preserve">CONST OPS/PAVEMENT REPLACEMENT     </v>
      </c>
      <c r="J668" t="str">
        <f>CLEAN("LOC STR")</f>
        <v>LOC STR</v>
      </c>
      <c r="K668" t="str">
        <f>CLEAN("SAUK                          ")</f>
        <v xml:space="preserve">SAUK                          </v>
      </c>
      <c r="L668" t="str">
        <f>CLEAN("V PRAIRIE DU SAC, NORTH STREET     ")</f>
        <v xml:space="preserve">V PRAIRIE DU SAC, NORTH STREET     </v>
      </c>
      <c r="M668" t="str">
        <f>CLEAN("20TH STREET TO 13TH STREET         ")</f>
        <v xml:space="preserve">20TH STREET TO 13TH STREET         </v>
      </c>
      <c r="N668">
        <v>0.54</v>
      </c>
      <c r="O668" t="str">
        <f>CLEAN("          ")</f>
        <v xml:space="preserve">          </v>
      </c>
      <c r="P668" t="str">
        <f>CLEAN("STP RURAL                                                                                           ")</f>
        <v xml:space="preserve">STP RURAL                                                                                           </v>
      </c>
    </row>
    <row r="669" spans="1:16" x14ac:dyDescent="0.25">
      <c r="A669" t="str">
        <f t="shared" si="230"/>
        <v>10</v>
      </c>
      <c r="B669" t="str">
        <f t="shared" si="207"/>
        <v>21</v>
      </c>
      <c r="C669" s="1">
        <v>46000</v>
      </c>
      <c r="D669" t="str">
        <f>CLEAN("5853-00-73")</f>
        <v>5853-00-73</v>
      </c>
      <c r="E669" t="str">
        <f>CLEAN("205  ")</f>
        <v xml:space="preserve">205  </v>
      </c>
      <c r="F669" t="str">
        <f>CLEAN("$250,000 - $499,999      ")</f>
        <v xml:space="preserve">$250,000 - $499,999      </v>
      </c>
      <c r="G669" t="str">
        <f>CLEAN("LET")</f>
        <v>LET</v>
      </c>
      <c r="H669" t="str">
        <f>CLEAN("LET CONSTRUCTION         ")</f>
        <v xml:space="preserve">LET CONSTRUCTION         </v>
      </c>
      <c r="I669" t="str">
        <f>CLEAN("CONST OPS/BRIDGE REPLACEMENT       ")</f>
        <v xml:space="preserve">CONST OPS/BRIDGE REPLACEMENT       </v>
      </c>
      <c r="J669" t="str">
        <f>CLEAN("LOC STR")</f>
        <v>LOC STR</v>
      </c>
      <c r="K669" t="str">
        <f>CLEAN("SAUK                          ")</f>
        <v xml:space="preserve">SAUK                          </v>
      </c>
      <c r="L669" t="str">
        <f>CLEAN("TOWN OF SUMPTER, STONES POCKET ROAD")</f>
        <v>TOWN OF SUMPTER, STONES POCKET ROAD</v>
      </c>
      <c r="M669" t="str">
        <f>CLEAN("OTTER CREEK BRIDGE B-56-0249       ")</f>
        <v xml:space="preserve">OTTER CREEK BRIDGE B-56-0249       </v>
      </c>
      <c r="N669">
        <v>2.7E-2</v>
      </c>
      <c r="O669" t="str">
        <f>CLEAN("          ")</f>
        <v xml:space="preserve">          </v>
      </c>
      <c r="P669" t="str">
        <f>CLEAN("LOCAL BRIDGES                                                                                       ")</f>
        <v xml:space="preserve">LOCAL BRIDGES                                                                                       </v>
      </c>
    </row>
    <row r="670" spans="1:16" x14ac:dyDescent="0.25">
      <c r="A670" t="str">
        <f t="shared" si="230"/>
        <v>10</v>
      </c>
      <c r="B670" t="str">
        <f t="shared" si="207"/>
        <v>21</v>
      </c>
      <c r="C670" s="1">
        <v>46245</v>
      </c>
      <c r="D670" t="str">
        <f>CLEAN("5865-02-64")</f>
        <v>5865-02-64</v>
      </c>
      <c r="E670" t="str">
        <f>CLEAN("303  ")</f>
        <v xml:space="preserve">303  </v>
      </c>
      <c r="F670" t="str">
        <f>CLEAN("$5,000,000 - $5,999,999  ")</f>
        <v xml:space="preserve">$5,000,000 - $5,999,999  </v>
      </c>
      <c r="G670" t="str">
        <f>CLEAN("LET")</f>
        <v>LET</v>
      </c>
      <c r="H670" t="str">
        <f>CLEAN("LET CONSTRUCTION         ")</f>
        <v xml:space="preserve">LET CONSTRUCTION         </v>
      </c>
      <c r="I670" t="str">
        <f>CLEAN("CON/MILL &amp; O'LAY/B62-29,83,984/RSRF")</f>
        <v>CON/MILL &amp; O'LAY/B62-29,83,984/RSRF</v>
      </c>
      <c r="J670" t="str">
        <f>CLEAN("STH 162")</f>
        <v>STH 162</v>
      </c>
      <c r="K670" t="str">
        <f>CLEAN("VERNON                        ")</f>
        <v xml:space="preserve">VERNON                        </v>
      </c>
      <c r="L670" t="str">
        <f>CLEAN("STODDARD - COON VALLEY             ")</f>
        <v xml:space="preserve">STODDARD - COON VALLEY             </v>
      </c>
      <c r="M670" t="str">
        <f>CLEAN("VILLAGE PARK DRIVEWAY TO DEPOT ST  ")</f>
        <v xml:space="preserve">VILLAGE PARK DRIVEWAY TO DEPOT ST  </v>
      </c>
      <c r="N670">
        <v>6.91</v>
      </c>
      <c r="O670" t="str">
        <f>CLEAN("5865-02-74")</f>
        <v>5865-02-74</v>
      </c>
      <c r="P670" t="str">
        <f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671" spans="1:16" x14ac:dyDescent="0.25">
      <c r="A671" t="str">
        <f t="shared" si="230"/>
        <v>10</v>
      </c>
      <c r="B671" t="str">
        <f t="shared" si="207"/>
        <v>21</v>
      </c>
      <c r="C671" s="1">
        <v>46245</v>
      </c>
      <c r="D671" t="str">
        <f>CLEAN("5865-02-74")</f>
        <v>5865-02-74</v>
      </c>
      <c r="E671" t="str">
        <f>CLEAN("303  ")</f>
        <v xml:space="preserve">303  </v>
      </c>
      <c r="F671" t="str">
        <f>CLEAN("$250,000 - $499,999      ")</f>
        <v xml:space="preserve">$250,000 - $499,999      </v>
      </c>
      <c r="G671" t="str">
        <f>CLEAN("LET")</f>
        <v>LET</v>
      </c>
      <c r="H671" t="str">
        <f>CLEAN("LET CONSTRUCTION         ")</f>
        <v xml:space="preserve">LET CONSTRUCTION         </v>
      </c>
      <c r="I671" t="str">
        <f>CLEAN("CONST/SANITARY &amp; WATER REPLACE/RSRF")</f>
        <v>CONST/SANITARY &amp; WATER REPLACE/RSRF</v>
      </c>
      <c r="J671" t="str">
        <f>CLEAN("STH 162")</f>
        <v>STH 162</v>
      </c>
      <c r="K671" t="str">
        <f>CLEAN("VERNON                        ")</f>
        <v xml:space="preserve">VERNON                        </v>
      </c>
      <c r="L671" t="str">
        <f>CLEAN("STODDARD - COON VALLEY             ")</f>
        <v xml:space="preserve">STODDARD - COON VALLEY             </v>
      </c>
      <c r="M671" t="str">
        <f>CLEAN("VILLAGE PARK DRIVEWAY TO DEPOT ST  ")</f>
        <v xml:space="preserve">VILLAGE PARK DRIVEWAY TO DEPOT ST  </v>
      </c>
      <c r="N671">
        <v>6.91</v>
      </c>
      <c r="O671" t="str">
        <f>CLEAN("5865-02-64")</f>
        <v>5865-02-64</v>
      </c>
      <c r="P671" t="str">
        <f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672" spans="1:16" x14ac:dyDescent="0.25">
      <c r="A672" t="str">
        <f t="shared" si="230"/>
        <v>10</v>
      </c>
      <c r="B672" t="str">
        <f t="shared" ref="B672:B735" si="231">CLEAN("21")</f>
        <v>21</v>
      </c>
      <c r="C672" s="1">
        <v>46078</v>
      </c>
      <c r="D672" t="str">
        <f>CLEAN("5880-00-28")</f>
        <v>5880-00-28</v>
      </c>
      <c r="E672" t="str">
        <f>CLEAN("303  ")</f>
        <v xml:space="preserve">303  </v>
      </c>
      <c r="F672" t="str">
        <f>CLEAN("$0 - $99,999             ")</f>
        <v xml:space="preserve">$0 - $99,999             </v>
      </c>
      <c r="G672" t="str">
        <f>CLEAN("R/E")</f>
        <v>R/E</v>
      </c>
      <c r="H672" t="str">
        <f>CLEAN("NONLET CONSTR/REAL ESTATE")</f>
        <v>NONLET CONSTR/REAL ESTATE</v>
      </c>
      <c r="I672" t="str">
        <f>CLEAN("RE / 5880-00-78 / PVRPLA           ")</f>
        <v xml:space="preserve">RE / 5880-00-78 / PVRPLA           </v>
      </c>
      <c r="J672" t="str">
        <f>CLEAN("USH 012")</f>
        <v>USH 012</v>
      </c>
      <c r="K672" t="str">
        <f>CLEAN("JUNEAU                        ")</f>
        <v xml:space="preserve">JUNEAU                        </v>
      </c>
      <c r="L672" t="str">
        <f>CLEAN("TOMAH - MAUSTON                    ")</f>
        <v xml:space="preserve">TOMAH - MAUSTON                    </v>
      </c>
      <c r="M672" t="str">
        <f>CLEAN("ORANGE ROAD TO WEBSTER STREET      ")</f>
        <v xml:space="preserve">ORANGE ROAD TO WEBSTER STREET      </v>
      </c>
      <c r="N672">
        <v>1.4330000000000001</v>
      </c>
      <c r="O672" t="str">
        <f>CLEAN("          ")</f>
        <v xml:space="preserve">          </v>
      </c>
      <c r="P672" t="str">
        <f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673" spans="1:16" x14ac:dyDescent="0.25">
      <c r="A673" t="str">
        <f t="shared" si="230"/>
        <v>10</v>
      </c>
      <c r="B673" t="str">
        <f t="shared" si="231"/>
        <v>21</v>
      </c>
      <c r="C673" s="1">
        <v>46091</v>
      </c>
      <c r="D673" t="str">
        <f>CLEAN("5889-00-73")</f>
        <v>5889-00-73</v>
      </c>
      <c r="E673" t="str">
        <f>CLEAN("205  ")</f>
        <v xml:space="preserve">205  </v>
      </c>
      <c r="F673" t="str">
        <f>CLEAN("$1,000,000 - $1,999,999  ")</f>
        <v xml:space="preserve">$1,000,000 - $1,999,999  </v>
      </c>
      <c r="G673" t="str">
        <f>CLEAN("LET")</f>
        <v>LET</v>
      </c>
      <c r="H673" t="str">
        <f>CLEAN("LET CONSTRUCTION         ")</f>
        <v xml:space="preserve">LET CONSTRUCTION         </v>
      </c>
      <c r="I673" t="str">
        <f>CLEAN("CONST OPS/BRIDGE REPLACEMENT       ")</f>
        <v xml:space="preserve">CONST OPS/BRIDGE REPLACEMENT       </v>
      </c>
      <c r="J673" t="str">
        <f>CLEAN("CTH G  ")</f>
        <v xml:space="preserve">CTH G  </v>
      </c>
      <c r="K673" t="str">
        <f>CLEAN("DANE                          ")</f>
        <v xml:space="preserve">DANE                          </v>
      </c>
      <c r="L673" t="str">
        <f>CLEAN("T PRIMROSE - T SPRINGDALE (CTH G)  ")</f>
        <v xml:space="preserve">T PRIMROSE - T SPRINGDALE (CTH G)  </v>
      </c>
      <c r="M673" t="str">
        <f>CLEAN("MT VERNON CREEK BRIDGE B-13-0902   ")</f>
        <v xml:space="preserve">MT VERNON CREEK BRIDGE B-13-0902   </v>
      </c>
      <c r="N673">
        <v>0.03</v>
      </c>
      <c r="O673" t="str">
        <f>CLEAN("5889-00-75")</f>
        <v>5889-00-75</v>
      </c>
      <c r="P673" t="str">
        <f>CLEAN("LOCAL BRIDGES                                                                                       ")</f>
        <v xml:space="preserve">LOCAL BRIDGES                                                                                       </v>
      </c>
    </row>
    <row r="674" spans="1:16" x14ac:dyDescent="0.25">
      <c r="A674" t="str">
        <f t="shared" si="230"/>
        <v>10</v>
      </c>
      <c r="B674" t="str">
        <f t="shared" si="231"/>
        <v>21</v>
      </c>
      <c r="C674" s="1">
        <v>46091</v>
      </c>
      <c r="D674" t="str">
        <f>CLEAN("5889-00-75")</f>
        <v>5889-00-75</v>
      </c>
      <c r="E674" t="str">
        <f>CLEAN("205  ")</f>
        <v xml:space="preserve">205  </v>
      </c>
      <c r="F674" t="str">
        <f>CLEAN("$750,000 - $999,999      ")</f>
        <v xml:space="preserve">$750,000 - $999,999      </v>
      </c>
      <c r="G674" t="str">
        <f>CLEAN("LET")</f>
        <v>LET</v>
      </c>
      <c r="H674" t="str">
        <f>CLEAN("LET CONSTRUCTION         ")</f>
        <v xml:space="preserve">LET CONSTRUCTION         </v>
      </c>
      <c r="I674" t="str">
        <f>CLEAN("CONST OPS/BRIDGE REPLACEMENT       ")</f>
        <v xml:space="preserve">CONST OPS/BRIDGE REPLACEMENT       </v>
      </c>
      <c r="J674" t="str">
        <f>CLEAN("CTH G  ")</f>
        <v xml:space="preserve">CTH G  </v>
      </c>
      <c r="K674" t="str">
        <f>CLEAN("DANE                          ")</f>
        <v xml:space="preserve">DANE                          </v>
      </c>
      <c r="L674" t="str">
        <f>CLEAN("T PRIMROSE - T SPRINGDALE (CTH G)  ")</f>
        <v xml:space="preserve">T PRIMROSE - T SPRINGDALE (CTH G)  </v>
      </c>
      <c r="M674" t="str">
        <f>CLEAN("W BRANCH SUGAR RV BRIDGE B-13-0904 ")</f>
        <v xml:space="preserve">W BRANCH SUGAR RV BRIDGE B-13-0904 </v>
      </c>
      <c r="N674">
        <v>2.1999999999999999E-2</v>
      </c>
      <c r="O674" t="str">
        <f>CLEAN("5889-00-73")</f>
        <v>5889-00-73</v>
      </c>
      <c r="P674" t="str">
        <f>CLEAN("LOCAL BRIDGES                                                                                       ")</f>
        <v xml:space="preserve">LOCAL BRIDGES                                                                                       </v>
      </c>
    </row>
    <row r="675" spans="1:16" x14ac:dyDescent="0.25">
      <c r="A675" t="str">
        <f t="shared" si="230"/>
        <v>10</v>
      </c>
      <c r="B675" t="str">
        <f t="shared" si="231"/>
        <v>21</v>
      </c>
      <c r="C675" s="1">
        <v>45881</v>
      </c>
      <c r="D675" t="str">
        <f>CLEAN("5892-00-73")</f>
        <v>5892-00-73</v>
      </c>
      <c r="E675" t="str">
        <f>CLEAN("205  ")</f>
        <v xml:space="preserve">205  </v>
      </c>
      <c r="F675" t="str">
        <f>CLEAN("$250,000 - $499,999      ")</f>
        <v xml:space="preserve">$250,000 - $499,999      </v>
      </c>
      <c r="G675" t="str">
        <f>CLEAN("LET")</f>
        <v>LET</v>
      </c>
      <c r="H675" t="str">
        <f>CLEAN("LET CONSTRUCTION         ")</f>
        <v xml:space="preserve">LET CONSTRUCTION         </v>
      </c>
      <c r="I675" t="str">
        <f>CLEAN("CONST/BRIDGE REPLACEMENT           ")</f>
        <v xml:space="preserve">CONST/BRIDGE REPLACEMENT           </v>
      </c>
      <c r="J675" t="str">
        <f>CLEAN("LOC STR")</f>
        <v>LOC STR</v>
      </c>
      <c r="K675" t="str">
        <f>CLEAN("GRANT                         ")</f>
        <v xml:space="preserve">GRANT                         </v>
      </c>
      <c r="L675" t="str">
        <f>CLEAN("T HICKORY GROVE, SLEEPY HOLLOW ROAD")</f>
        <v>T HICKORY GROVE, SLEEPY HOLLOW ROAD</v>
      </c>
      <c r="M675" t="str">
        <f>CLEAN("SAUNDERS CREEK BRIDGE B-22-0315    ")</f>
        <v xml:space="preserve">SAUNDERS CREEK BRIDGE B-22-0315    </v>
      </c>
      <c r="N675">
        <v>2.5999999999999999E-2</v>
      </c>
      <c r="O675" t="str">
        <f t="shared" ref="O675:O685" si="232">CLEAN("          ")</f>
        <v xml:space="preserve">          </v>
      </c>
      <c r="P675" t="str">
        <f>CLEAN("LOCAL BRIDGES                                                                                       ")</f>
        <v xml:space="preserve">LOCAL BRIDGES                                                                                       </v>
      </c>
    </row>
    <row r="676" spans="1:16" x14ac:dyDescent="0.25">
      <c r="A676" t="str">
        <f t="shared" si="230"/>
        <v>10</v>
      </c>
      <c r="B676" t="str">
        <f t="shared" si="231"/>
        <v>21</v>
      </c>
      <c r="C676" s="1">
        <v>45894</v>
      </c>
      <c r="D676" t="str">
        <f>CLEAN("5926-03-22")</f>
        <v>5926-03-22</v>
      </c>
      <c r="E676" t="str">
        <f>CLEAN("303  ")</f>
        <v xml:space="preserve">303  </v>
      </c>
      <c r="F676" t="str">
        <f>CLEAN("$0 - $99,999             ")</f>
        <v xml:space="preserve">$0 - $99,999             </v>
      </c>
      <c r="G676" t="str">
        <f>CLEAN("R/E")</f>
        <v>R/E</v>
      </c>
      <c r="H676" t="str">
        <f>CLEAN("NONLET CONSTR/REAL ESTATE")</f>
        <v>NONLET CONSTR/REAL ESTATE</v>
      </c>
      <c r="I676" t="str">
        <f>CLEAN("RE OPS /5926-03-72 /PVRPLA         ")</f>
        <v xml:space="preserve">RE OPS /5926-03-72 /PVRPLA         </v>
      </c>
      <c r="J676" t="str">
        <f>CLEAN("STH 092")</f>
        <v>STH 092</v>
      </c>
      <c r="K676" t="str">
        <f>CLEAN("DANE                          ")</f>
        <v xml:space="preserve">DANE                          </v>
      </c>
      <c r="L676" t="str">
        <f>CLEAN("MT HOREB - BROOKLYN                ")</f>
        <v xml:space="preserve">MT HOREB - BROOKLYN                </v>
      </c>
      <c r="M676" t="str">
        <f>CLEAN("ALASKA AVENUE TO STONEFIELD WAY    ")</f>
        <v xml:space="preserve">ALASKA AVENUE TO STONEFIELD WAY    </v>
      </c>
      <c r="N676">
        <v>0.93700000000000006</v>
      </c>
      <c r="O676" t="str">
        <f t="shared" si="232"/>
        <v xml:space="preserve">          </v>
      </c>
      <c r="P676" t="str">
        <f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677" spans="1:16" x14ac:dyDescent="0.25">
      <c r="A677" t="str">
        <f t="shared" si="230"/>
        <v>10</v>
      </c>
      <c r="B677" t="str">
        <f t="shared" si="231"/>
        <v>21</v>
      </c>
      <c r="C677" s="1">
        <v>46245</v>
      </c>
      <c r="D677" t="str">
        <f>CLEAN("5932-00-74")</f>
        <v>5932-00-74</v>
      </c>
      <c r="E677" t="str">
        <f>CLEAN("205  ")</f>
        <v xml:space="preserve">205  </v>
      </c>
      <c r="F677" t="str">
        <f>CLEAN("$250,000 - $499,999      ")</f>
        <v xml:space="preserve">$250,000 - $499,999      </v>
      </c>
      <c r="G677" t="str">
        <f>CLEAN("LET")</f>
        <v>LET</v>
      </c>
      <c r="H677" t="str">
        <f>CLEAN("LET CONSTRUCTION         ")</f>
        <v xml:space="preserve">LET CONSTRUCTION         </v>
      </c>
      <c r="I677" t="str">
        <f>CLEAN("CONST/BRIDGE REPLACEMENT           ")</f>
        <v xml:space="preserve">CONST/BRIDGE REPLACEMENT           </v>
      </c>
      <c r="J677" t="str">
        <f>CLEAN("LOC STR")</f>
        <v>LOC STR</v>
      </c>
      <c r="K677" t="str">
        <f>CLEAN("DANE                          ")</f>
        <v xml:space="preserve">DANE                          </v>
      </c>
      <c r="L677" t="str">
        <f>CLEAN("T PRIMROSE, LEWIS ROAD             ")</f>
        <v xml:space="preserve">T PRIMROSE, LEWIS ROAD             </v>
      </c>
      <c r="M677" t="str">
        <f>CLEAN("W BR SUGAR RIVER BRIDGE B-13-0929  ")</f>
        <v xml:space="preserve">W BR SUGAR RIVER BRIDGE B-13-0929  </v>
      </c>
      <c r="N677">
        <v>2.3E-2</v>
      </c>
      <c r="O677" t="str">
        <f t="shared" si="232"/>
        <v xml:space="preserve">          </v>
      </c>
      <c r="P677" t="str">
        <f>CLEAN("LOCAL BRIDGES                                                                                       ")</f>
        <v xml:space="preserve">LOCAL BRIDGES                                                                                       </v>
      </c>
    </row>
    <row r="678" spans="1:16" x14ac:dyDescent="0.25">
      <c r="A678" t="str">
        <f t="shared" si="230"/>
        <v>10</v>
      </c>
      <c r="B678" t="str">
        <f t="shared" si="231"/>
        <v>21</v>
      </c>
      <c r="C678" s="1">
        <v>45894</v>
      </c>
      <c r="D678" t="str">
        <f>CLEAN("5939-00-43")</f>
        <v>5939-00-43</v>
      </c>
      <c r="E678" t="str">
        <f t="shared" ref="E678:E683" si="233">CLEAN("303  ")</f>
        <v xml:space="preserve">303  </v>
      </c>
      <c r="F678" t="str">
        <f>CLEAN("$0 - $99,999             ")</f>
        <v xml:space="preserve">$0 - $99,999             </v>
      </c>
      <c r="G678" t="str">
        <f>CLEAN("UTL")</f>
        <v>UTL</v>
      </c>
      <c r="H678" t="str">
        <f>CLEAN("NONLET CONSTR/REAL ESTATE")</f>
        <v>NONLET CONSTR/REAL ESTATE</v>
      </c>
      <c r="I678" t="str">
        <f>CLEAN("UTL/BRIGHTSPEED WESTERN WISCONSIN  ")</f>
        <v xml:space="preserve">UTL/BRIGHTSPEED WESTERN WISCONSIN  </v>
      </c>
      <c r="J678" t="str">
        <f>CLEAN("STH 080")</f>
        <v>STH 080</v>
      </c>
      <c r="K678" t="str">
        <f>CLEAN("IOWA                          ")</f>
        <v xml:space="preserve">IOWA                          </v>
      </c>
      <c r="L678" t="str">
        <f>CLEAN("COBB - AVOCA                       ")</f>
        <v xml:space="preserve">COBB - AVOCA                       </v>
      </c>
      <c r="M678" t="str">
        <f>CLEAN("CTH I TO STH 133                   ")</f>
        <v xml:space="preserve">CTH I TO STH 133                   </v>
      </c>
      <c r="N678">
        <v>8.8209999999999997</v>
      </c>
      <c r="O678" t="str">
        <f t="shared" si="232"/>
        <v xml:space="preserve">          </v>
      </c>
      <c r="P678" t="str">
        <f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679" spans="1:16" x14ac:dyDescent="0.25">
      <c r="A679" t="str">
        <f t="shared" si="230"/>
        <v>10</v>
      </c>
      <c r="B679" t="str">
        <f t="shared" si="231"/>
        <v>21</v>
      </c>
      <c r="C679" s="1">
        <v>46063</v>
      </c>
      <c r="D679" t="str">
        <f>CLEAN("5939-00-63")</f>
        <v>5939-00-63</v>
      </c>
      <c r="E679" t="str">
        <f t="shared" si="233"/>
        <v xml:space="preserve">303  </v>
      </c>
      <c r="F679" t="str">
        <f>CLEAN("$3,000,000 - $3,999,999  ")</f>
        <v xml:space="preserve">$3,000,000 - $3,999,999  </v>
      </c>
      <c r="G679" t="str">
        <f>CLEAN("LET")</f>
        <v>LET</v>
      </c>
      <c r="H679" t="str">
        <f>CLEAN("LET CONSTRUCTION         ")</f>
        <v xml:space="preserve">LET CONSTRUCTION         </v>
      </c>
      <c r="I679" t="str">
        <f>CLEAN("CONST/ RSRF10/ B-25-176            ")</f>
        <v xml:space="preserve">CONST/ RSRF10/ B-25-176            </v>
      </c>
      <c r="J679" t="str">
        <f>CLEAN("STH 080")</f>
        <v>STH 080</v>
      </c>
      <c r="K679" t="str">
        <f>CLEAN("IOWA                          ")</f>
        <v xml:space="preserve">IOWA                          </v>
      </c>
      <c r="L679" t="str">
        <f>CLEAN("COBB - AVOCA                       ")</f>
        <v xml:space="preserve">COBB - AVOCA                       </v>
      </c>
      <c r="M679" t="str">
        <f>CLEAN("CTH I TO STH 133                   ")</f>
        <v xml:space="preserve">CTH I TO STH 133                   </v>
      </c>
      <c r="N679">
        <v>8.8339999999999996</v>
      </c>
      <c r="O679" t="str">
        <f t="shared" si="232"/>
        <v xml:space="preserve">          </v>
      </c>
      <c r="P679" t="str">
        <f>CLEAN("SAFETY (REGULAR HSIP)                                                                               ")</f>
        <v xml:space="preserve">SAFETY (REGULAR HSIP)                                                                               </v>
      </c>
    </row>
    <row r="680" spans="1:16" x14ac:dyDescent="0.25">
      <c r="A680" t="str">
        <f t="shared" si="230"/>
        <v>10</v>
      </c>
      <c r="B680" t="str">
        <f t="shared" si="231"/>
        <v>21</v>
      </c>
      <c r="C680" s="1">
        <v>46063</v>
      </c>
      <c r="D680" t="str">
        <f>CLEAN("5939-00-63")</f>
        <v>5939-00-63</v>
      </c>
      <c r="E680" t="str">
        <f t="shared" si="233"/>
        <v xml:space="preserve">303  </v>
      </c>
      <c r="F680" t="str">
        <f>CLEAN("$3,000,000 - $3,999,999  ")</f>
        <v xml:space="preserve">$3,000,000 - $3,999,999  </v>
      </c>
      <c r="G680" t="str">
        <f>CLEAN("LET")</f>
        <v>LET</v>
      </c>
      <c r="H680" t="str">
        <f>CLEAN("LET CONSTRUCTION         ")</f>
        <v xml:space="preserve">LET CONSTRUCTION         </v>
      </c>
      <c r="I680" t="str">
        <f>CLEAN("CONST/ RSRF10/ B-25-176            ")</f>
        <v xml:space="preserve">CONST/ RSRF10/ B-25-176            </v>
      </c>
      <c r="J680" t="str">
        <f>CLEAN("STH 080")</f>
        <v>STH 080</v>
      </c>
      <c r="K680" t="str">
        <f>CLEAN("IOWA                          ")</f>
        <v xml:space="preserve">IOWA                          </v>
      </c>
      <c r="L680" t="str">
        <f>CLEAN("COBB - AVOCA                       ")</f>
        <v xml:space="preserve">COBB - AVOCA                       </v>
      </c>
      <c r="M680" t="str">
        <f>CLEAN("CTH I TO STH 133                   ")</f>
        <v xml:space="preserve">CTH I TO STH 133                   </v>
      </c>
      <c r="N680">
        <v>8.8339999999999996</v>
      </c>
      <c r="O680" t="str">
        <f t="shared" si="232"/>
        <v xml:space="preserve">          </v>
      </c>
      <c r="P680" t="str">
        <f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681" spans="1:16" x14ac:dyDescent="0.25">
      <c r="A681" t="str">
        <f t="shared" si="230"/>
        <v>10</v>
      </c>
      <c r="B681" t="str">
        <f t="shared" si="231"/>
        <v>21</v>
      </c>
      <c r="C681" s="1">
        <v>46126</v>
      </c>
      <c r="D681" t="str">
        <f>CLEAN("5939-00-72")</f>
        <v>5939-00-72</v>
      </c>
      <c r="E681" t="str">
        <f t="shared" si="233"/>
        <v xml:space="preserve">303  </v>
      </c>
      <c r="F681" t="str">
        <f>CLEAN("$1,000,000 - $1,999,999  ")</f>
        <v xml:space="preserve">$1,000,000 - $1,999,999  </v>
      </c>
      <c r="G681" t="str">
        <f>CLEAN("LET")</f>
        <v>LET</v>
      </c>
      <c r="H681" t="str">
        <f>CLEAN("LET CONSTRUCTION         ")</f>
        <v xml:space="preserve">LET CONSTRUCTION         </v>
      </c>
      <c r="I681" t="str">
        <f>CLEAN("CONST/ MILL AND OVERLAY            ")</f>
        <v xml:space="preserve">CONST/ MILL AND OVERLAY            </v>
      </c>
      <c r="J681" t="str">
        <f>CLEAN("STH 080")</f>
        <v>STH 080</v>
      </c>
      <c r="K681" t="str">
        <f>CLEAN("IOWA                          ")</f>
        <v xml:space="preserve">IOWA                          </v>
      </c>
      <c r="L681" t="str">
        <f>CLEAN("COBB - AVOCA                       ")</f>
        <v xml:space="preserve">COBB - AVOCA                       </v>
      </c>
      <c r="M681" t="str">
        <f>CLEAN("KENNEDY STREET TO 0.27 MILE N CTH I")</f>
        <v>KENNEDY STREET TO 0.27 MILE N CTH I</v>
      </c>
      <c r="N681">
        <v>1.972</v>
      </c>
      <c r="O681" t="str">
        <f t="shared" si="232"/>
        <v xml:space="preserve">          </v>
      </c>
      <c r="P681" t="str">
        <f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682" spans="1:16" x14ac:dyDescent="0.25">
      <c r="A682" t="str">
        <f t="shared" si="230"/>
        <v>10</v>
      </c>
      <c r="B682" t="str">
        <f t="shared" si="231"/>
        <v>21</v>
      </c>
      <c r="C682" s="1">
        <v>46078</v>
      </c>
      <c r="D682" t="str">
        <f>CLEAN("5944-00-25")</f>
        <v>5944-00-25</v>
      </c>
      <c r="E682" t="str">
        <f t="shared" si="233"/>
        <v xml:space="preserve">303  </v>
      </c>
      <c r="F682" t="str">
        <f>CLEAN("$0 - $99,999             ")</f>
        <v xml:space="preserve">$0 - $99,999             </v>
      </c>
      <c r="G682" t="str">
        <f>CLEAN("R/E")</f>
        <v>R/E</v>
      </c>
      <c r="H682" t="str">
        <f>CLEAN("NONLET CONSTR/REAL ESTATE")</f>
        <v>NONLET CONSTR/REAL ESTATE</v>
      </c>
      <c r="I682" t="str">
        <f>CLEAN("DESIGN-RIGHT OF WAY-RSRF25         ")</f>
        <v xml:space="preserve">DESIGN-RIGHT OF WAY-RSRF25         </v>
      </c>
      <c r="J682" t="str">
        <f>CLEAN("STH 081")</f>
        <v>STH 081</v>
      </c>
      <c r="K682" t="str">
        <f>CLEAN("LAFAYETTE                     ")</f>
        <v xml:space="preserve">LAFAYETTE                     </v>
      </c>
      <c r="L682" t="str">
        <f>CLEAN("ARGYLE - MONROE                    ")</f>
        <v xml:space="preserve">ARGYLE - MONROE                    </v>
      </c>
      <c r="M682" t="str">
        <f>CLEAN("V ARGYLE W LIMIT TO OLD HIGHWAY 81 ")</f>
        <v xml:space="preserve">V ARGYLE W LIMIT TO OLD HIGHWAY 81 </v>
      </c>
      <c r="N682">
        <v>0.61699999999999999</v>
      </c>
      <c r="O682" t="str">
        <f t="shared" si="232"/>
        <v xml:space="preserve">          </v>
      </c>
      <c r="P682" t="str">
        <f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683" spans="1:16" x14ac:dyDescent="0.25">
      <c r="A683" t="str">
        <f t="shared" si="230"/>
        <v>10</v>
      </c>
      <c r="B683" t="str">
        <f t="shared" si="231"/>
        <v>21</v>
      </c>
      <c r="C683" s="1">
        <v>45925</v>
      </c>
      <c r="D683" t="str">
        <f>CLEAN("5964-01-43")</f>
        <v>5964-01-43</v>
      </c>
      <c r="E683" t="str">
        <f t="shared" si="233"/>
        <v xml:space="preserve">303  </v>
      </c>
      <c r="F683" t="str">
        <f>CLEAN("$0 - $99,999             ")</f>
        <v xml:space="preserve">$0 - $99,999             </v>
      </c>
      <c r="G683" t="str">
        <f>CLEAN("UTL")</f>
        <v>UTL</v>
      </c>
      <c r="H683" t="str">
        <f>CLEAN("NONLET CONSTR/REAL ESTATE")</f>
        <v>NONLET CONSTR/REAL ESTATE</v>
      </c>
      <c r="I683" t="str">
        <f>CLEAN("UTL/FARMERS TELE CO UTL 52/PVRPLA  ")</f>
        <v xml:space="preserve">UTL/FARMERS TELE CO UTL 52/PVRPLA  </v>
      </c>
      <c r="J683" t="str">
        <f>CLEAN("STH 133")</f>
        <v>STH 133</v>
      </c>
      <c r="K683" t="str">
        <f>CLEAN("GRANT                         ")</f>
        <v xml:space="preserve">GRANT                         </v>
      </c>
      <c r="L683" t="str">
        <f>CLEAN("CASSVILLE - PATCH GROVE            ")</f>
        <v xml:space="preserve">CASSVILLE - PATCH GROVE            </v>
      </c>
      <c r="M683" t="str">
        <f>CLEAN("FURNACE BRANCH BRIDGE TO STH 35    ")</f>
        <v xml:space="preserve">FURNACE BRANCH BRIDGE TO STH 35    </v>
      </c>
      <c r="N683">
        <v>13.792</v>
      </c>
      <c r="O683" t="str">
        <f t="shared" si="232"/>
        <v xml:space="preserve">          </v>
      </c>
      <c r="P683" t="str">
        <f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684" spans="1:16" x14ac:dyDescent="0.25">
      <c r="A684" t="str">
        <f t="shared" si="230"/>
        <v>10</v>
      </c>
      <c r="B684" t="str">
        <f t="shared" si="231"/>
        <v>21</v>
      </c>
      <c r="C684" s="1">
        <v>45972</v>
      </c>
      <c r="D684" t="str">
        <f>CLEAN("5978-00-75")</f>
        <v>5978-00-75</v>
      </c>
      <c r="E684" t="str">
        <f>CLEAN("205  ")</f>
        <v xml:space="preserve">205  </v>
      </c>
      <c r="F684" t="str">
        <f>CLEAN("$250,000 - $499,999      ")</f>
        <v xml:space="preserve">$250,000 - $499,999      </v>
      </c>
      <c r="G684" t="str">
        <f>CLEAN("LET")</f>
        <v>LET</v>
      </c>
      <c r="H684" t="str">
        <f>CLEAN("LET CONSTRUCTION         ")</f>
        <v xml:space="preserve">LET CONSTRUCTION         </v>
      </c>
      <c r="I684" t="str">
        <f>CLEAN("CONST OPS/BRIDGE REPLACEMENT       ")</f>
        <v xml:space="preserve">CONST OPS/BRIDGE REPLACEMENT       </v>
      </c>
      <c r="J684" t="str">
        <f>CLEAN("LOC STR")</f>
        <v>LOC STR</v>
      </c>
      <c r="K684" t="str">
        <f>CLEAN("SAUK                          ")</f>
        <v xml:space="preserve">SAUK                          </v>
      </c>
      <c r="L684" t="str">
        <f>CLEAN("TOWN OF IRONTON, PICKEL ROAD       ")</f>
        <v xml:space="preserve">TOWN OF IRONTON, PICKEL ROAD       </v>
      </c>
      <c r="M684" t="str">
        <f>CLEAN("BR NARROWS CREEK BRIDGE B-56-0253  ")</f>
        <v xml:space="preserve">BR NARROWS CREEK BRIDGE B-56-0253  </v>
      </c>
      <c r="N684">
        <v>0</v>
      </c>
      <c r="O684" t="str">
        <f t="shared" si="232"/>
        <v xml:space="preserve">          </v>
      </c>
      <c r="P684" t="str">
        <f>CLEAN("LOCAL BRIDGES                                                                                       ")</f>
        <v xml:space="preserve">LOCAL BRIDGES                                                                                       </v>
      </c>
    </row>
    <row r="685" spans="1:16" x14ac:dyDescent="0.25">
      <c r="A685" t="str">
        <f t="shared" si="230"/>
        <v>10</v>
      </c>
      <c r="B685" t="str">
        <f t="shared" si="231"/>
        <v>21</v>
      </c>
      <c r="C685" s="1">
        <v>46137</v>
      </c>
      <c r="D685" t="str">
        <f>CLEAN("5988-01-14")</f>
        <v>5988-01-14</v>
      </c>
      <c r="E685" t="str">
        <f>CLEAN("206  ")</f>
        <v xml:space="preserve">206  </v>
      </c>
      <c r="F685" t="str">
        <f>CLEAN("$1,000,000 - $1,999,999  ")</f>
        <v xml:space="preserve">$1,000,000 - $1,999,999  </v>
      </c>
      <c r="G685" t="str">
        <f>CLEAN("LLC")</f>
        <v>LLC</v>
      </c>
      <c r="H685" t="str">
        <f>CLEAN("NONLET CONSTR/REAL ESTATE")</f>
        <v>NONLET CONSTR/REAL ESTATE</v>
      </c>
      <c r="I685" t="str">
        <f>CLEAN("CONST/CARBON RED-LED LIGHTING      ")</f>
        <v xml:space="preserve">CONST/CARBON RED-LED LIGHTING      </v>
      </c>
      <c r="J685" t="str">
        <f>CLEAN("VAR HWY")</f>
        <v>VAR HWY</v>
      </c>
      <c r="K685" t="str">
        <f>CLEAN("SAUK                          ")</f>
        <v xml:space="preserve">SAUK                          </v>
      </c>
      <c r="L685" t="str">
        <f>CLEAN("C BARABOO, LED STREET LIGHTS       ")</f>
        <v xml:space="preserve">C BARABOO, LED STREET LIGHTS       </v>
      </c>
      <c r="M685" t="str">
        <f>CLEAN("VARIOUS LOCATIONS - C BARABOO      ")</f>
        <v xml:space="preserve">VARIOUS LOCATIONS - C BARABOO      </v>
      </c>
      <c r="N685">
        <v>0</v>
      </c>
      <c r="O685" t="str">
        <f t="shared" si="232"/>
        <v xml:space="preserve">          </v>
      </c>
      <c r="P685" t="str">
        <f>CLEAN("CARBON REDUCTION  5,000 - 50,000                                                                    ")</f>
        <v xml:space="preserve">CARBON REDUCTION  5,000 - 50,000                                                                    </v>
      </c>
    </row>
    <row r="686" spans="1:16" x14ac:dyDescent="0.25">
      <c r="A686" t="str">
        <f t="shared" si="230"/>
        <v>10</v>
      </c>
      <c r="B686" t="str">
        <f t="shared" si="231"/>
        <v>21</v>
      </c>
      <c r="C686" s="1">
        <v>45972</v>
      </c>
      <c r="D686" t="str">
        <f>CLEAN("5990-02-41")</f>
        <v>5990-02-41</v>
      </c>
      <c r="E686" t="str">
        <f>CLEAN("206  ")</f>
        <v xml:space="preserve">206  </v>
      </c>
      <c r="F686" t="str">
        <f>CLEAN("$1,000,000 - $1,999,999  ")</f>
        <v xml:space="preserve">$1,000,000 - $1,999,999  </v>
      </c>
      <c r="G686" t="str">
        <f>CLEAN("LET")</f>
        <v>LET</v>
      </c>
      <c r="H686" t="str">
        <f>CLEAN("LET CONSTRUCTION         ")</f>
        <v xml:space="preserve">LET CONSTRUCTION         </v>
      </c>
      <c r="I686" t="str">
        <f>CLEAN("CONST OPS/RECONSTRUCTION           ")</f>
        <v xml:space="preserve">CONST OPS/RECONSTRUCTION           </v>
      </c>
      <c r="J686" t="str">
        <f>CLEAN("LOC STR")</f>
        <v>LOC STR</v>
      </c>
      <c r="K686" t="str">
        <f>CLEAN("ROCK                          ")</f>
        <v xml:space="preserve">ROCK                          </v>
      </c>
      <c r="L686" t="str">
        <f>CLEAN("CITY OF JANESVILLE, RUGER AVENUE   ")</f>
        <v xml:space="preserve">CITY OF JANESVILLE, RUGER AVENUE   </v>
      </c>
      <c r="M686" t="str">
        <f>CLEAN("S RANDALL AVE TO S LEXINGTON DR    ")</f>
        <v xml:space="preserve">S RANDALL AVE TO S LEXINGTON DR    </v>
      </c>
      <c r="N686">
        <v>0.45</v>
      </c>
      <c r="O686" t="str">
        <f>CLEAN("5990-02-42")</f>
        <v>5990-02-42</v>
      </c>
      <c r="P686" t="str">
        <f>CLEAN("STP URBAN 50,000 - 200,000                                                                          ")</f>
        <v xml:space="preserve">STP URBAN 50,000 - 200,000                                                                          </v>
      </c>
    </row>
    <row r="687" spans="1:16" x14ac:dyDescent="0.25">
      <c r="A687" t="str">
        <f t="shared" si="230"/>
        <v>10</v>
      </c>
      <c r="B687" t="str">
        <f t="shared" si="231"/>
        <v>21</v>
      </c>
      <c r="C687" s="1">
        <v>45972</v>
      </c>
      <c r="D687" t="str">
        <f>CLEAN("5990-02-42")</f>
        <v>5990-02-42</v>
      </c>
      <c r="E687" t="str">
        <f>CLEAN("206  ")</f>
        <v xml:space="preserve">206  </v>
      </c>
      <c r="F687" t="str">
        <f>CLEAN("$100,000-$249,999        ")</f>
        <v xml:space="preserve">$100,000-$249,999        </v>
      </c>
      <c r="G687" t="str">
        <f>CLEAN("LET")</f>
        <v>LET</v>
      </c>
      <c r="H687" t="str">
        <f>CLEAN("LET CONSTRUCTION         ")</f>
        <v xml:space="preserve">LET CONSTRUCTION         </v>
      </c>
      <c r="I687" t="str">
        <f>CLEAN("CONST OPS/MUNICIPAL UTILITIES      ")</f>
        <v xml:space="preserve">CONST OPS/MUNICIPAL UTILITIES      </v>
      </c>
      <c r="J687" t="str">
        <f>CLEAN("LOC STR")</f>
        <v>LOC STR</v>
      </c>
      <c r="K687" t="str">
        <f>CLEAN("ROCK                          ")</f>
        <v xml:space="preserve">ROCK                          </v>
      </c>
      <c r="L687" t="str">
        <f>CLEAN("CITY OF JANESVILLE, RUGER AVENUE   ")</f>
        <v xml:space="preserve">CITY OF JANESVILLE, RUGER AVENUE   </v>
      </c>
      <c r="M687" t="str">
        <f>CLEAN("S RANDALL AVE TO S LEXINGTON AVE   ")</f>
        <v xml:space="preserve">S RANDALL AVE TO S LEXINGTON AVE   </v>
      </c>
      <c r="N687">
        <v>0.45</v>
      </c>
      <c r="O687" t="str">
        <f>CLEAN("5990-02-41")</f>
        <v>5990-02-41</v>
      </c>
      <c r="P687" t="str">
        <f>CLEAN("STP URBAN 50,000 - 200,000                                                                          ")</f>
        <v xml:space="preserve">STP URBAN 50,000 - 200,000                                                                          </v>
      </c>
    </row>
    <row r="688" spans="1:16" x14ac:dyDescent="0.25">
      <c r="A688" t="str">
        <f t="shared" si="230"/>
        <v>10</v>
      </c>
      <c r="B688" t="str">
        <f t="shared" si="231"/>
        <v>21</v>
      </c>
      <c r="C688" s="1">
        <v>45955</v>
      </c>
      <c r="D688" t="str">
        <f>CLEAN("5991-02-23")</f>
        <v>5991-02-23</v>
      </c>
      <c r="E688" t="str">
        <f>CLEAN("303  ")</f>
        <v xml:space="preserve">303  </v>
      </c>
      <c r="F688" t="str">
        <f>CLEAN("$0 - $99,999             ")</f>
        <v xml:space="preserve">$0 - $99,999             </v>
      </c>
      <c r="G688" t="str">
        <f>CLEAN("R/E")</f>
        <v>R/E</v>
      </c>
      <c r="H688" t="str">
        <f>CLEAN("NONLET CONSTR/REAL ESTATE")</f>
        <v>NONLET CONSTR/REAL ESTATE</v>
      </c>
      <c r="I688" t="str">
        <f>CLEAN("RE / 5991-02-73 / PVRPLA           ")</f>
        <v xml:space="preserve">RE / 5991-02-73 / PVRPLA           </v>
      </c>
      <c r="J688" t="str">
        <f>CLEAN("STH 157")</f>
        <v>STH 157</v>
      </c>
      <c r="K688" t="str">
        <f t="shared" ref="K688:K693" si="234">CLEAN("LA CROSSE                     ")</f>
        <v xml:space="preserve">LA CROSSE                     </v>
      </c>
      <c r="L688" t="str">
        <f>CLEAN("C ONALASKA, MAIN STREET            ")</f>
        <v xml:space="preserve">C ONALASKA, MAIN STREET            </v>
      </c>
      <c r="M688" t="str">
        <f>CLEAN("5TH AVE S TO 0.05 EAST OF 17TH AVE ")</f>
        <v xml:space="preserve">5TH AVE S TO 0.05 EAST OF 17TH AVE </v>
      </c>
      <c r="N688">
        <v>0.95299999999999996</v>
      </c>
      <c r="O688" t="str">
        <f>CLEAN("          ")</f>
        <v xml:space="preserve">          </v>
      </c>
      <c r="P688" t="str">
        <f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689" spans="1:16" x14ac:dyDescent="0.25">
      <c r="A689" t="str">
        <f t="shared" si="230"/>
        <v>10</v>
      </c>
      <c r="B689" t="str">
        <f t="shared" si="231"/>
        <v>21</v>
      </c>
      <c r="C689" s="1">
        <v>45881</v>
      </c>
      <c r="D689" t="str">
        <f>CLEAN("5991-06-73")</f>
        <v>5991-06-73</v>
      </c>
      <c r="E689" t="str">
        <f>CLEAN("290  ")</f>
        <v xml:space="preserve">290  </v>
      </c>
      <c r="F689" t="str">
        <f>CLEAN("$250,000 - $499,999      ")</f>
        <v xml:space="preserve">$250,000 - $499,999      </v>
      </c>
      <c r="G689" t="str">
        <f>CLEAN("LET")</f>
        <v>LET</v>
      </c>
      <c r="H689" t="str">
        <f>CLEAN("LET CONSTRUCTION         ")</f>
        <v xml:space="preserve">LET CONSTRUCTION         </v>
      </c>
      <c r="I689" t="str">
        <f>CLEAN("PEDESTRAIN/BICYCLE MULTI-USE PATH  ")</f>
        <v xml:space="preserve">PEDESTRAIN/BICYCLE MULTI-USE PATH  </v>
      </c>
      <c r="J689" t="str">
        <f>CLEAN("NON HWY")</f>
        <v>NON HWY</v>
      </c>
      <c r="K689" t="str">
        <f t="shared" si="234"/>
        <v xml:space="preserve">LA CROSSE                     </v>
      </c>
      <c r="L689" t="str">
        <f>CLEAN("T SHELBY, GOOSE ISLAND TRAIL       ")</f>
        <v xml:space="preserve">T SHELBY, GOOSE ISLAND TRAIL       </v>
      </c>
      <c r="M689" t="str">
        <f>CLEAN("CTH GI TO SUNNYSIDE DRIVE          ")</f>
        <v xml:space="preserve">CTH GI TO SUNNYSIDE DRIVE          </v>
      </c>
      <c r="N689">
        <v>0.17</v>
      </c>
      <c r="O689" t="str">
        <f>CLEAN("5163-07-72")</f>
        <v>5163-07-72</v>
      </c>
      <c r="P689" t="str">
        <f>CLEAN("TAP 50,000 - 200,000                                                                                ")</f>
        <v xml:space="preserve">TAP 50,000 - 200,000                                                                                </v>
      </c>
    </row>
    <row r="690" spans="1:16" x14ac:dyDescent="0.25">
      <c r="A690" t="str">
        <f t="shared" si="230"/>
        <v>10</v>
      </c>
      <c r="B690" t="str">
        <f t="shared" si="231"/>
        <v>21</v>
      </c>
      <c r="C690" s="1">
        <v>45955</v>
      </c>
      <c r="D690" t="str">
        <f>CLEAN("5991-07-66")</f>
        <v>5991-07-66</v>
      </c>
      <c r="E690" t="str">
        <f>CLEAN("290  ")</f>
        <v xml:space="preserve">290  </v>
      </c>
      <c r="F690" t="str">
        <f>CLEAN("$750,000 - $999,999      ")</f>
        <v xml:space="preserve">$750,000 - $999,999      </v>
      </c>
      <c r="G690" t="str">
        <f>CLEAN("LLC")</f>
        <v>LLC</v>
      </c>
      <c r="H690" t="str">
        <f>CLEAN("NONLET CONSTR/REAL ESTATE")</f>
        <v>NONLET CONSTR/REAL ESTATE</v>
      </c>
      <c r="I690" t="str">
        <f>CLEAN("PEDESTRAIN/BICYLCE MULTI-USE TRAIL ")</f>
        <v xml:space="preserve">PEDESTRAIN/BICYLCE MULTI-USE TRAIL </v>
      </c>
      <c r="J690" t="str">
        <f>CLEAN("NON HWY")</f>
        <v>NON HWY</v>
      </c>
      <c r="K690" t="str">
        <f t="shared" si="234"/>
        <v xml:space="preserve">LA CROSSE                     </v>
      </c>
      <c r="L690" t="str">
        <f>CLEAN("C LA CROSSE, GRAND CROSSING TRAIL  ")</f>
        <v xml:space="preserve">C LA CROSSE, GRAND CROSSING TRAIL  </v>
      </c>
      <c r="M690" t="str">
        <f>CLEAN("MYRICK PARK DR TO SAINT JAMES ST   ")</f>
        <v xml:space="preserve">MYRICK PARK DR TO SAINT JAMES ST   </v>
      </c>
      <c r="N690">
        <v>0.26</v>
      </c>
      <c r="O690" t="str">
        <f t="shared" ref="O690:O699" si="235">CLEAN("          ")</f>
        <v xml:space="preserve">          </v>
      </c>
      <c r="P690" t="str">
        <f>CLEAN("TAP 50,000 - 200,000                                                                                ")</f>
        <v xml:space="preserve">TAP 50,000 - 200,000                                                                                </v>
      </c>
    </row>
    <row r="691" spans="1:16" x14ac:dyDescent="0.25">
      <c r="A691" t="str">
        <f t="shared" si="230"/>
        <v>10</v>
      </c>
      <c r="B691" t="str">
        <f t="shared" si="231"/>
        <v>21</v>
      </c>
      <c r="C691" s="1">
        <v>46091</v>
      </c>
      <c r="D691" t="str">
        <f>CLEAN("5991-07-73")</f>
        <v>5991-07-73</v>
      </c>
      <c r="E691" t="str">
        <f>CLEAN("290  ")</f>
        <v xml:space="preserve">290  </v>
      </c>
      <c r="F691" t="str">
        <f>CLEAN("$5,000,000 - $5,999,999  ")</f>
        <v xml:space="preserve">$5,000,000 - $5,999,999  </v>
      </c>
      <c r="G691" t="str">
        <f>CLEAN("LET")</f>
        <v>LET</v>
      </c>
      <c r="H691" t="str">
        <f>CLEAN("LET CONSTRUCTION         ")</f>
        <v xml:space="preserve">LET CONSTRUCTION         </v>
      </c>
      <c r="I691" t="str">
        <f>CLEAN("PEDESTRAIN/BICYCLE MULTI-USE TRAIL ")</f>
        <v xml:space="preserve">PEDESTRAIN/BICYCLE MULTI-USE TRAIL </v>
      </c>
      <c r="J691" t="str">
        <f>CLEAN("NON HWY")</f>
        <v>NON HWY</v>
      </c>
      <c r="K691" t="str">
        <f t="shared" si="234"/>
        <v xml:space="preserve">LA CROSSE                     </v>
      </c>
      <c r="L691" t="str">
        <f>CLEAN("C LA CROSSE, WAGON WHEEL TRAIL     ")</f>
        <v xml:space="preserve">C LA CROSSE, WAGON WHEEL TRAIL     </v>
      </c>
      <c r="M691" t="str">
        <f>CLEAN("LA CRESCENT MN TO C LA CROSSE      ")</f>
        <v xml:space="preserve">LA CRESCENT MN TO C LA CROSSE      </v>
      </c>
      <c r="N691">
        <v>0.1</v>
      </c>
      <c r="O691" t="str">
        <f t="shared" si="235"/>
        <v xml:space="preserve">          </v>
      </c>
      <c r="P691" t="str">
        <f>CLEAN("TAP 50,000 - 200,000                                                                                ")</f>
        <v xml:space="preserve">TAP 50,000 - 200,000                                                                                </v>
      </c>
    </row>
    <row r="692" spans="1:16" x14ac:dyDescent="0.25">
      <c r="A692" t="str">
        <f t="shared" si="230"/>
        <v>10</v>
      </c>
      <c r="B692" t="str">
        <f t="shared" si="231"/>
        <v>21</v>
      </c>
      <c r="C692" s="1">
        <v>46035</v>
      </c>
      <c r="D692" t="str">
        <f>CLEAN("5991-07-81")</f>
        <v>5991-07-81</v>
      </c>
      <c r="E692" t="str">
        <f>CLEAN("206  ")</f>
        <v xml:space="preserve">206  </v>
      </c>
      <c r="F692" t="str">
        <f>CLEAN("$1,000,000 - $1,999,999  ")</f>
        <v xml:space="preserve">$1,000,000 - $1,999,999  </v>
      </c>
      <c r="G692" t="str">
        <f>CLEAN("LET")</f>
        <v>LET</v>
      </c>
      <c r="H692" t="str">
        <f>CLEAN("LET CONSTRUCTION         ")</f>
        <v xml:space="preserve">LET CONSTRUCTION         </v>
      </c>
      <c r="I692" t="str">
        <f>CLEAN("CONST/LT TURN LANES/MONOTUBES/MISC ")</f>
        <v xml:space="preserve">CONST/LT TURN LANES/MONOTUBES/MISC </v>
      </c>
      <c r="J692" t="str">
        <f>CLEAN("LOC STR")</f>
        <v>LOC STR</v>
      </c>
      <c r="K692" t="str">
        <f t="shared" si="234"/>
        <v xml:space="preserve">LA CROSSE                     </v>
      </c>
      <c r="L692" t="str">
        <f>CLEAN("C LA CROSSE, LOSEY BOULEVARD       ")</f>
        <v xml:space="preserve">C LA CROSSE, LOSEY BOULEVARD       </v>
      </c>
      <c r="M692" t="str">
        <f>CLEAN("MAIN STREET INTERSECTION           ")</f>
        <v xml:space="preserve">MAIN STREET INTERSECTION           </v>
      </c>
      <c r="N692">
        <v>4.9000000000000002E-2</v>
      </c>
      <c r="O692" t="str">
        <f t="shared" si="235"/>
        <v xml:space="preserve">          </v>
      </c>
      <c r="P692" t="str">
        <f>CLEAN("SAFETY (REGULAR HSIP)                                                                               ")</f>
        <v xml:space="preserve">SAFETY (REGULAR HSIP)                                                                               </v>
      </c>
    </row>
    <row r="693" spans="1:16" x14ac:dyDescent="0.25">
      <c r="A693" t="str">
        <f t="shared" si="230"/>
        <v>10</v>
      </c>
      <c r="B693" t="str">
        <f t="shared" si="231"/>
        <v>21</v>
      </c>
      <c r="C693" s="1">
        <v>46035</v>
      </c>
      <c r="D693" t="str">
        <f>CLEAN("5991-08-11")</f>
        <v>5991-08-11</v>
      </c>
      <c r="E693" t="str">
        <f>CLEAN("206  ")</f>
        <v xml:space="preserve">206  </v>
      </c>
      <c r="F693" t="str">
        <f>CLEAN("$2,000,000 - $2,999,999  ")</f>
        <v xml:space="preserve">$2,000,000 - $2,999,999  </v>
      </c>
      <c r="G693" t="str">
        <f>CLEAN("LET")</f>
        <v>LET</v>
      </c>
      <c r="H693" t="str">
        <f>CLEAN("LET CONSTRUCTION         ")</f>
        <v xml:space="preserve">LET CONSTRUCTION         </v>
      </c>
      <c r="I693" t="str">
        <f>CLEAN("CONST OPS/PAVEMENT REPLACEMENT     ")</f>
        <v xml:space="preserve">CONST OPS/PAVEMENT REPLACEMENT     </v>
      </c>
      <c r="J693" t="str">
        <f>CLEAN("CTH OT ")</f>
        <v xml:space="preserve">CTH OT </v>
      </c>
      <c r="K693" t="str">
        <f t="shared" si="234"/>
        <v xml:space="preserve">LA CROSSE                     </v>
      </c>
      <c r="L693" t="str">
        <f>CLEAN("STH 35 - CTH SN (CTH OT)           ")</f>
        <v xml:space="preserve">STH 35 - CTH SN (CTH OT)           </v>
      </c>
      <c r="M693" t="str">
        <f>CLEAN("STH 35 TO CTH SN                   ")</f>
        <v xml:space="preserve">STH 35 TO CTH SN                   </v>
      </c>
      <c r="N693">
        <v>0.71099999999999997</v>
      </c>
      <c r="O693" t="str">
        <f t="shared" si="235"/>
        <v xml:space="preserve">          </v>
      </c>
      <c r="P693" t="str">
        <f>CLEAN("STP URBAN 50,000 - 200,000                                                                          ")</f>
        <v xml:space="preserve">STP URBAN 50,000 - 200,000                                                                          </v>
      </c>
    </row>
    <row r="694" spans="1:16" x14ac:dyDescent="0.25">
      <c r="A694" t="str">
        <f t="shared" si="230"/>
        <v>10</v>
      </c>
      <c r="B694" t="str">
        <f t="shared" si="231"/>
        <v>21</v>
      </c>
      <c r="C694" s="1">
        <v>45894</v>
      </c>
      <c r="D694" t="str">
        <f>CLEAN("5992-02-29")</f>
        <v>5992-02-29</v>
      </c>
      <c r="E694" t="str">
        <f>CLEAN("290  ")</f>
        <v xml:space="preserve">290  </v>
      </c>
      <c r="F694" t="str">
        <f>CLEAN("$1,000,000 - $1,999,999  ")</f>
        <v xml:space="preserve">$1,000,000 - $1,999,999  </v>
      </c>
      <c r="G694" t="str">
        <f>CLEAN("LLC")</f>
        <v>LLC</v>
      </c>
      <c r="H694" t="str">
        <f>CLEAN("NONLET CONSTR/REAL ESTATE")</f>
        <v>NONLET CONSTR/REAL ESTATE</v>
      </c>
      <c r="I694" t="str">
        <f>CLEAN("PEDESTRAIN/BICYCLE MULTI-USE PATH  ")</f>
        <v xml:space="preserve">PEDESTRAIN/BICYCLE MULTI-USE PATH  </v>
      </c>
      <c r="J694" t="str">
        <f>CLEAN("NON HWY")</f>
        <v>NON HWY</v>
      </c>
      <c r="K694" t="str">
        <f t="shared" ref="K694:K725" si="236">CLEAN("DANE                          ")</f>
        <v xml:space="preserve">DANE                          </v>
      </c>
      <c r="L694" t="str">
        <f>CLEAN("CITY OF MADISON, SHARED-USE PATH   ")</f>
        <v xml:space="preserve">CITY OF MADISON, SHARED-USE PATH   </v>
      </c>
      <c r="M694" t="str">
        <f>CLEAN("W. BADGER ROAD TO NYGAARD STREET   ")</f>
        <v xml:space="preserve">W. BADGER ROAD TO NYGAARD STREET   </v>
      </c>
      <c r="N694">
        <v>0.11</v>
      </c>
      <c r="O694" t="str">
        <f t="shared" si="235"/>
        <v xml:space="preserve">          </v>
      </c>
      <c r="P694" t="str">
        <f>CLEAN("TAP &gt; 200,000                                                                                       ")</f>
        <v xml:space="preserve">TAP &gt; 200,000                                                                                       </v>
      </c>
    </row>
    <row r="695" spans="1:16" x14ac:dyDescent="0.25">
      <c r="A695" t="str">
        <f t="shared" si="230"/>
        <v>10</v>
      </c>
      <c r="B695" t="str">
        <f t="shared" si="231"/>
        <v>21</v>
      </c>
      <c r="C695" s="1">
        <v>45894</v>
      </c>
      <c r="D695" t="str">
        <f>CLEAN("5992-08-50")</f>
        <v>5992-08-50</v>
      </c>
      <c r="E695" t="str">
        <f t="shared" ref="E695:E706" si="237">CLEAN("206  ")</f>
        <v xml:space="preserve">206  </v>
      </c>
      <c r="F695" t="str">
        <f>CLEAN("$100,000-$249,999        ")</f>
        <v xml:space="preserve">$100,000-$249,999        </v>
      </c>
      <c r="G695" t="str">
        <f>CLEAN("MIS")</f>
        <v>MIS</v>
      </c>
      <c r="H695" t="str">
        <f>CLEAN("NONLET CONSTR/REAL ESTATE")</f>
        <v>NONLET CONSTR/REAL ESTATE</v>
      </c>
      <c r="I695" t="str">
        <f>CLEAN("FUNDING FOR CALENDAR YR 2025/2026  ")</f>
        <v xml:space="preserve">FUNDING FOR CALENDAR YR 2025/2026  </v>
      </c>
      <c r="J695" t="str">
        <f>CLEAN("NON HWY")</f>
        <v>NON HWY</v>
      </c>
      <c r="K695" t="str">
        <f t="shared" si="236"/>
        <v xml:space="preserve">DANE                          </v>
      </c>
      <c r="L695" t="str">
        <f>CLEAN("PEDESTRIAN BIKE SAFETY EDUCATION   ")</f>
        <v xml:space="preserve">PEDESTRIAN BIKE SAFETY EDUCATION   </v>
      </c>
      <c r="M695" t="str">
        <f>CLEAN("CITY OF MADISON - 2025             ")</f>
        <v xml:space="preserve">CITY OF MADISON - 2025             </v>
      </c>
      <c r="N695">
        <v>7.0000000000000007E-2</v>
      </c>
      <c r="O695" t="str">
        <f t="shared" si="235"/>
        <v xml:space="preserve">          </v>
      </c>
      <c r="P695" t="str">
        <f t="shared" ref="P695:P706" si="238">CLEAN("STP URBAN OVER 200,000                                                                              ")</f>
        <v xml:space="preserve">STP URBAN OVER 200,000                                                                              </v>
      </c>
    </row>
    <row r="696" spans="1:16" x14ac:dyDescent="0.25">
      <c r="A696" t="str">
        <f t="shared" si="230"/>
        <v>10</v>
      </c>
      <c r="B696" t="str">
        <f t="shared" si="231"/>
        <v>21</v>
      </c>
      <c r="C696" s="1">
        <v>46016</v>
      </c>
      <c r="D696" t="str">
        <f>CLEAN("5992-08-54")</f>
        <v>5992-08-54</v>
      </c>
      <c r="E696" t="str">
        <f t="shared" si="237"/>
        <v xml:space="preserve">206  </v>
      </c>
      <c r="F696" t="str">
        <f>CLEAN("$100,000-$249,999        ")</f>
        <v xml:space="preserve">$100,000-$249,999        </v>
      </c>
      <c r="G696" t="str">
        <f>CLEAN("MIS")</f>
        <v>MIS</v>
      </c>
      <c r="H696" t="str">
        <f>CLEAN("NONLET CONSTR/REAL ESTATE")</f>
        <v>NONLET CONSTR/REAL ESTATE</v>
      </c>
      <c r="I696" t="str">
        <f>CLEAN("FUNDING FOR CALENDAR YEAR 2026     ")</f>
        <v xml:space="preserve">FUNDING FOR CALENDAR YEAR 2026     </v>
      </c>
      <c r="J696" t="str">
        <f>CLEAN("NON HWY")</f>
        <v>NON HWY</v>
      </c>
      <c r="K696" t="str">
        <f t="shared" si="236"/>
        <v xml:space="preserve">DANE                          </v>
      </c>
      <c r="L696" t="str">
        <f>CLEAN("RIDESHARE/TDM PROGRAM 2026         ")</f>
        <v xml:space="preserve">RIDESHARE/TDM PROGRAM 2026         </v>
      </c>
      <c r="M696" t="str">
        <f>CLEAN("MADISON MPO AREA 2026 - JUNE 2027  ")</f>
        <v xml:space="preserve">MADISON MPO AREA 2026 - JUNE 2027  </v>
      </c>
      <c r="N696">
        <v>7.0000000000000007E-2</v>
      </c>
      <c r="O696" t="str">
        <f t="shared" si="235"/>
        <v xml:space="preserve">          </v>
      </c>
      <c r="P696" t="str">
        <f t="shared" si="238"/>
        <v xml:space="preserve">STP URBAN OVER 200,000                                                                              </v>
      </c>
    </row>
    <row r="697" spans="1:16" x14ac:dyDescent="0.25">
      <c r="A697" t="str">
        <f t="shared" si="230"/>
        <v>10</v>
      </c>
      <c r="B697" t="str">
        <f t="shared" si="231"/>
        <v>21</v>
      </c>
      <c r="C697" s="1">
        <v>46016</v>
      </c>
      <c r="D697" t="str">
        <f>CLEAN("5992-08-60")</f>
        <v>5992-08-60</v>
      </c>
      <c r="E697" t="str">
        <f t="shared" si="237"/>
        <v xml:space="preserve">206  </v>
      </c>
      <c r="F697" t="str">
        <f>CLEAN("$100,000-$249,999        ")</f>
        <v xml:space="preserve">$100,000-$249,999        </v>
      </c>
      <c r="G697" t="str">
        <f>CLEAN("MIS")</f>
        <v>MIS</v>
      </c>
      <c r="H697" t="str">
        <f>CLEAN("NONLET CONSTR/REAL ESTATE")</f>
        <v>NONLET CONSTR/REAL ESTATE</v>
      </c>
      <c r="I697" t="str">
        <f>CLEAN("FUNDING FOR CALENDAR YEAR 2026     ")</f>
        <v xml:space="preserve">FUNDING FOR CALENDAR YEAR 2026     </v>
      </c>
      <c r="J697" t="str">
        <f>CLEAN("NON HWY")</f>
        <v>NON HWY</v>
      </c>
      <c r="K697" t="str">
        <f t="shared" si="236"/>
        <v xml:space="preserve">DANE                          </v>
      </c>
      <c r="L697" t="str">
        <f>CLEAN("PEDESTRIAN BIKE SAFETY EDUCATION   ")</f>
        <v xml:space="preserve">PEDESTRIAN BIKE SAFETY EDUCATION   </v>
      </c>
      <c r="M697" t="str">
        <f>CLEAN("CITY OF MADISON 2026 - JUNE 2027   ")</f>
        <v xml:space="preserve">CITY OF MADISON 2026 - JUNE 2027   </v>
      </c>
      <c r="N697">
        <v>7.0000000000000007E-2</v>
      </c>
      <c r="O697" t="str">
        <f t="shared" si="235"/>
        <v xml:space="preserve">          </v>
      </c>
      <c r="P697" t="str">
        <f t="shared" si="238"/>
        <v xml:space="preserve">STP URBAN OVER 200,000                                                                              </v>
      </c>
    </row>
    <row r="698" spans="1:16" x14ac:dyDescent="0.25">
      <c r="A698" t="str">
        <f t="shared" si="230"/>
        <v>10</v>
      </c>
      <c r="B698" t="str">
        <f t="shared" si="231"/>
        <v>21</v>
      </c>
      <c r="C698" s="1">
        <v>45925</v>
      </c>
      <c r="D698" t="str">
        <f>CLEAN("5992-09-18")</f>
        <v>5992-09-18</v>
      </c>
      <c r="E698" t="str">
        <f t="shared" si="237"/>
        <v xml:space="preserve">206  </v>
      </c>
      <c r="F698" t="str">
        <f>CLEAN("$0 - $99,999             ")</f>
        <v xml:space="preserve">$0 - $99,999             </v>
      </c>
      <c r="G698" t="str">
        <f>CLEAN("MIS")</f>
        <v>MIS</v>
      </c>
      <c r="H698" t="str">
        <f>CLEAN("NONLET CONSTR/REAL ESTATE")</f>
        <v>NONLET CONSTR/REAL ESTATE</v>
      </c>
      <c r="I698" t="str">
        <f>CLEAN("CONST/INTERPRETIVE SIGN            ")</f>
        <v xml:space="preserve">CONST/INTERPRETIVE SIGN            </v>
      </c>
      <c r="J698" t="str">
        <f>CLEAN("NON HWY")</f>
        <v>NON HWY</v>
      </c>
      <c r="K698" t="str">
        <f t="shared" si="236"/>
        <v xml:space="preserve">DANE                          </v>
      </c>
      <c r="L698" t="str">
        <f>CLEAN("LOWER YAHARA RIVER TRAIL SIGN      ")</f>
        <v xml:space="preserve">LOWER YAHARA RIVER TRAIL SIGN      </v>
      </c>
      <c r="M698" t="str">
        <f>CLEAN("LOWER YAHARA RIVER TRAIL BRIDGE    ")</f>
        <v xml:space="preserve">LOWER YAHARA RIVER TRAIL BRIDGE    </v>
      </c>
      <c r="N698">
        <v>1E-3</v>
      </c>
      <c r="O698" t="str">
        <f t="shared" si="235"/>
        <v xml:space="preserve">          </v>
      </c>
      <c r="P698" t="str">
        <f t="shared" si="238"/>
        <v xml:space="preserve">STP URBAN OVER 200,000                                                                              </v>
      </c>
    </row>
    <row r="699" spans="1:16" x14ac:dyDescent="0.25">
      <c r="A699" t="str">
        <f t="shared" si="230"/>
        <v>10</v>
      </c>
      <c r="B699" t="str">
        <f t="shared" si="231"/>
        <v>21</v>
      </c>
      <c r="C699" s="1">
        <v>46063</v>
      </c>
      <c r="D699" t="str">
        <f>CLEAN("5992-10-20")</f>
        <v>5992-10-20</v>
      </c>
      <c r="E699" t="str">
        <f t="shared" si="237"/>
        <v xml:space="preserve">206  </v>
      </c>
      <c r="F699" t="str">
        <f>CLEAN("$10,000,000 - $10,999,999")</f>
        <v>$10,000,000 - $10,999,999</v>
      </c>
      <c r="G699" t="str">
        <f t="shared" ref="G699:G730" si="239">CLEAN("LET")</f>
        <v>LET</v>
      </c>
      <c r="H699" t="str">
        <f t="shared" ref="H699:H730" si="240">CLEAN("LET CONSTRUCTION         ")</f>
        <v xml:space="preserve">LET CONSTRUCTION         </v>
      </c>
      <c r="I699" t="str">
        <f>CLEAN("CONST OPS/PAVEMENT REPLACMENT      ")</f>
        <v xml:space="preserve">CONST OPS/PAVEMENT REPLACMENT      </v>
      </c>
      <c r="J699" t="str">
        <f t="shared" ref="J699:J730" si="241">CLEAN("LOC STR")</f>
        <v>LOC STR</v>
      </c>
      <c r="K699" t="str">
        <f t="shared" si="236"/>
        <v xml:space="preserve">DANE                          </v>
      </c>
      <c r="L699" t="str">
        <f>CLEAN("C MADISON, MINERAL POINT ROAD      ")</f>
        <v xml:space="preserve">C MADISON, MINERAL POINT ROAD      </v>
      </c>
      <c r="M699" t="str">
        <f>CLEAN("USH 12 TO HIGH POINT ROAD          ")</f>
        <v xml:space="preserve">USH 12 TO HIGH POINT ROAD          </v>
      </c>
      <c r="N699">
        <v>0.28000000000000003</v>
      </c>
      <c r="O699" t="str">
        <f t="shared" si="235"/>
        <v xml:space="preserve">          </v>
      </c>
      <c r="P699" t="str">
        <f t="shared" si="238"/>
        <v xml:space="preserve">STP URBAN OVER 200,000                                                                              </v>
      </c>
    </row>
    <row r="700" spans="1:16" x14ac:dyDescent="0.25">
      <c r="A700" t="str">
        <f t="shared" si="230"/>
        <v>10</v>
      </c>
      <c r="B700" t="str">
        <f t="shared" si="231"/>
        <v>21</v>
      </c>
      <c r="C700" s="1">
        <v>45881</v>
      </c>
      <c r="D700" t="str">
        <f t="shared" ref="D700:D706" si="242">CLEAN("5992-11-21")</f>
        <v>5992-11-21</v>
      </c>
      <c r="E700" t="str">
        <f t="shared" si="237"/>
        <v xml:space="preserve">206  </v>
      </c>
      <c r="F700" t="str">
        <f t="shared" ref="F700:F706" si="243">CLEAN("$25,000,000 - $29,999,999")</f>
        <v>$25,000,000 - $29,999,999</v>
      </c>
      <c r="G700" t="str">
        <f t="shared" si="239"/>
        <v>LET</v>
      </c>
      <c r="H700" t="str">
        <f t="shared" si="240"/>
        <v xml:space="preserve">LET CONSTRUCTION         </v>
      </c>
      <c r="I700" t="str">
        <f t="shared" ref="I700:I706" si="244">CLEAN("CONST OPS/RECONSTRUCTION           ")</f>
        <v xml:space="preserve">CONST OPS/RECONSTRUCTION           </v>
      </c>
      <c r="J700" t="str">
        <f t="shared" si="241"/>
        <v>LOC STR</v>
      </c>
      <c r="K700" t="str">
        <f t="shared" si="236"/>
        <v xml:space="preserve">DANE                          </v>
      </c>
      <c r="L700" t="str">
        <f t="shared" ref="L700:L731" si="245">CLEAN("CITY OF MADISON, JOHN NOLEN DRIVE  ")</f>
        <v xml:space="preserve">CITY OF MADISON, JOHN NOLEN DRIVE  </v>
      </c>
      <c r="M700" t="str">
        <f t="shared" ref="M700:M706" si="246">CLEAN("LAKESIDE ST TO NORTH SHORE DR      ")</f>
        <v xml:space="preserve">LAKESIDE ST TO NORTH SHORE DR      </v>
      </c>
      <c r="N700">
        <v>0.86</v>
      </c>
      <c r="O700" t="str">
        <f>CLEAN("5992-11-22")</f>
        <v>5992-11-22</v>
      </c>
      <c r="P700" t="str">
        <f t="shared" si="238"/>
        <v xml:space="preserve">STP URBAN OVER 200,000                                                                              </v>
      </c>
    </row>
    <row r="701" spans="1:16" x14ac:dyDescent="0.25">
      <c r="A701" t="str">
        <f t="shared" si="230"/>
        <v>10</v>
      </c>
      <c r="B701" t="str">
        <f t="shared" si="231"/>
        <v>21</v>
      </c>
      <c r="C701" s="1">
        <v>45881</v>
      </c>
      <c r="D701" t="str">
        <f t="shared" si="242"/>
        <v>5992-11-21</v>
      </c>
      <c r="E701" t="str">
        <f t="shared" si="237"/>
        <v xml:space="preserve">206  </v>
      </c>
      <c r="F701" t="str">
        <f t="shared" si="243"/>
        <v>$25,000,000 - $29,999,999</v>
      </c>
      <c r="G701" t="str">
        <f t="shared" si="239"/>
        <v>LET</v>
      </c>
      <c r="H701" t="str">
        <f t="shared" si="240"/>
        <v xml:space="preserve">LET CONSTRUCTION         </v>
      </c>
      <c r="I701" t="str">
        <f t="shared" si="244"/>
        <v xml:space="preserve">CONST OPS/RECONSTRUCTION           </v>
      </c>
      <c r="J701" t="str">
        <f t="shared" si="241"/>
        <v>LOC STR</v>
      </c>
      <c r="K701" t="str">
        <f t="shared" si="236"/>
        <v xml:space="preserve">DANE                          </v>
      </c>
      <c r="L701" t="str">
        <f t="shared" si="245"/>
        <v xml:space="preserve">CITY OF MADISON, JOHN NOLEN DRIVE  </v>
      </c>
      <c r="M701" t="str">
        <f t="shared" si="246"/>
        <v xml:space="preserve">LAKESIDE ST TO NORTH SHORE DR      </v>
      </c>
      <c r="N701">
        <v>0.86</v>
      </c>
      <c r="O701" t="str">
        <f>CLEAN("5992-11-23")</f>
        <v>5992-11-23</v>
      </c>
      <c r="P701" t="str">
        <f t="shared" si="238"/>
        <v xml:space="preserve">STP URBAN OVER 200,000                                                                              </v>
      </c>
    </row>
    <row r="702" spans="1:16" x14ac:dyDescent="0.25">
      <c r="A702" t="str">
        <f t="shared" si="230"/>
        <v>10</v>
      </c>
      <c r="B702" t="str">
        <f t="shared" si="231"/>
        <v>21</v>
      </c>
      <c r="C702" s="1">
        <v>45881</v>
      </c>
      <c r="D702" t="str">
        <f t="shared" si="242"/>
        <v>5992-11-21</v>
      </c>
      <c r="E702" t="str">
        <f t="shared" si="237"/>
        <v xml:space="preserve">206  </v>
      </c>
      <c r="F702" t="str">
        <f t="shared" si="243"/>
        <v>$25,000,000 - $29,999,999</v>
      </c>
      <c r="G702" t="str">
        <f t="shared" si="239"/>
        <v>LET</v>
      </c>
      <c r="H702" t="str">
        <f t="shared" si="240"/>
        <v xml:space="preserve">LET CONSTRUCTION         </v>
      </c>
      <c r="I702" t="str">
        <f t="shared" si="244"/>
        <v xml:space="preserve">CONST OPS/RECONSTRUCTION           </v>
      </c>
      <c r="J702" t="str">
        <f t="shared" si="241"/>
        <v>LOC STR</v>
      </c>
      <c r="K702" t="str">
        <f t="shared" si="236"/>
        <v xml:space="preserve">DANE                          </v>
      </c>
      <c r="L702" t="str">
        <f t="shared" si="245"/>
        <v xml:space="preserve">CITY OF MADISON, JOHN NOLEN DRIVE  </v>
      </c>
      <c r="M702" t="str">
        <f t="shared" si="246"/>
        <v xml:space="preserve">LAKESIDE ST TO NORTH SHORE DR      </v>
      </c>
      <c r="N702">
        <v>0.86</v>
      </c>
      <c r="O702" t="str">
        <f>CLEAN("5992-11-24")</f>
        <v>5992-11-24</v>
      </c>
      <c r="P702" t="str">
        <f t="shared" si="238"/>
        <v xml:space="preserve">STP URBAN OVER 200,000                                                                              </v>
      </c>
    </row>
    <row r="703" spans="1:16" x14ac:dyDescent="0.25">
      <c r="A703" t="str">
        <f t="shared" si="230"/>
        <v>10</v>
      </c>
      <c r="B703" t="str">
        <f t="shared" si="231"/>
        <v>21</v>
      </c>
      <c r="C703" s="1">
        <v>45881</v>
      </c>
      <c r="D703" t="str">
        <f t="shared" si="242"/>
        <v>5992-11-21</v>
      </c>
      <c r="E703" t="str">
        <f t="shared" si="237"/>
        <v xml:space="preserve">206  </v>
      </c>
      <c r="F703" t="str">
        <f t="shared" si="243"/>
        <v>$25,000,000 - $29,999,999</v>
      </c>
      <c r="G703" t="str">
        <f t="shared" si="239"/>
        <v>LET</v>
      </c>
      <c r="H703" t="str">
        <f t="shared" si="240"/>
        <v xml:space="preserve">LET CONSTRUCTION         </v>
      </c>
      <c r="I703" t="str">
        <f t="shared" si="244"/>
        <v xml:space="preserve">CONST OPS/RECONSTRUCTION           </v>
      </c>
      <c r="J703" t="str">
        <f t="shared" si="241"/>
        <v>LOC STR</v>
      </c>
      <c r="K703" t="str">
        <f t="shared" si="236"/>
        <v xml:space="preserve">DANE                          </v>
      </c>
      <c r="L703" t="str">
        <f t="shared" si="245"/>
        <v xml:space="preserve">CITY OF MADISON, JOHN NOLEN DRIVE  </v>
      </c>
      <c r="M703" t="str">
        <f t="shared" si="246"/>
        <v xml:space="preserve">LAKESIDE ST TO NORTH SHORE DR      </v>
      </c>
      <c r="N703">
        <v>0.86</v>
      </c>
      <c r="O703" t="str">
        <f>CLEAN("5992-11-25")</f>
        <v>5992-11-25</v>
      </c>
      <c r="P703" t="str">
        <f t="shared" si="238"/>
        <v xml:space="preserve">STP URBAN OVER 200,000                                                                              </v>
      </c>
    </row>
    <row r="704" spans="1:16" x14ac:dyDescent="0.25">
      <c r="A704" t="str">
        <f t="shared" si="230"/>
        <v>10</v>
      </c>
      <c r="B704" t="str">
        <f t="shared" si="231"/>
        <v>21</v>
      </c>
      <c r="C704" s="1">
        <v>45881</v>
      </c>
      <c r="D704" t="str">
        <f t="shared" si="242"/>
        <v>5992-11-21</v>
      </c>
      <c r="E704" t="str">
        <f t="shared" si="237"/>
        <v xml:space="preserve">206  </v>
      </c>
      <c r="F704" t="str">
        <f t="shared" si="243"/>
        <v>$25,000,000 - $29,999,999</v>
      </c>
      <c r="G704" t="str">
        <f t="shared" si="239"/>
        <v>LET</v>
      </c>
      <c r="H704" t="str">
        <f t="shared" si="240"/>
        <v xml:space="preserve">LET CONSTRUCTION         </v>
      </c>
      <c r="I704" t="str">
        <f t="shared" si="244"/>
        <v xml:space="preserve">CONST OPS/RECONSTRUCTION           </v>
      </c>
      <c r="J704" t="str">
        <f t="shared" si="241"/>
        <v>LOC STR</v>
      </c>
      <c r="K704" t="str">
        <f t="shared" si="236"/>
        <v xml:space="preserve">DANE                          </v>
      </c>
      <c r="L704" t="str">
        <f t="shared" si="245"/>
        <v xml:space="preserve">CITY OF MADISON, JOHN NOLEN DRIVE  </v>
      </c>
      <c r="M704" t="str">
        <f t="shared" si="246"/>
        <v xml:space="preserve">LAKESIDE ST TO NORTH SHORE DR      </v>
      </c>
      <c r="N704">
        <v>0.86</v>
      </c>
      <c r="O704" t="str">
        <f>CLEAN("5992-11-26")</f>
        <v>5992-11-26</v>
      </c>
      <c r="P704" t="str">
        <f t="shared" si="238"/>
        <v xml:space="preserve">STP URBAN OVER 200,000                                                                              </v>
      </c>
    </row>
    <row r="705" spans="1:16" x14ac:dyDescent="0.25">
      <c r="A705" t="str">
        <f t="shared" si="230"/>
        <v>10</v>
      </c>
      <c r="B705" t="str">
        <f t="shared" si="231"/>
        <v>21</v>
      </c>
      <c r="C705" s="1">
        <v>45881</v>
      </c>
      <c r="D705" t="str">
        <f t="shared" si="242"/>
        <v>5992-11-21</v>
      </c>
      <c r="E705" t="str">
        <f t="shared" si="237"/>
        <v xml:space="preserve">206  </v>
      </c>
      <c r="F705" t="str">
        <f t="shared" si="243"/>
        <v>$25,000,000 - $29,999,999</v>
      </c>
      <c r="G705" t="str">
        <f t="shared" si="239"/>
        <v>LET</v>
      </c>
      <c r="H705" t="str">
        <f t="shared" si="240"/>
        <v xml:space="preserve">LET CONSTRUCTION         </v>
      </c>
      <c r="I705" t="str">
        <f t="shared" si="244"/>
        <v xml:space="preserve">CONST OPS/RECONSTRUCTION           </v>
      </c>
      <c r="J705" t="str">
        <f t="shared" si="241"/>
        <v>LOC STR</v>
      </c>
      <c r="K705" t="str">
        <f t="shared" si="236"/>
        <v xml:space="preserve">DANE                          </v>
      </c>
      <c r="L705" t="str">
        <f t="shared" si="245"/>
        <v xml:space="preserve">CITY OF MADISON, JOHN NOLEN DRIVE  </v>
      </c>
      <c r="M705" t="str">
        <f t="shared" si="246"/>
        <v xml:space="preserve">LAKESIDE ST TO NORTH SHORE DR      </v>
      </c>
      <c r="N705">
        <v>0.86</v>
      </c>
      <c r="O705" t="str">
        <f>CLEAN("5992-11-27")</f>
        <v>5992-11-27</v>
      </c>
      <c r="P705" t="str">
        <f t="shared" si="238"/>
        <v xml:space="preserve">STP URBAN OVER 200,000                                                                              </v>
      </c>
    </row>
    <row r="706" spans="1:16" x14ac:dyDescent="0.25">
      <c r="A706" t="str">
        <f t="shared" si="230"/>
        <v>10</v>
      </c>
      <c r="B706" t="str">
        <f t="shared" si="231"/>
        <v>21</v>
      </c>
      <c r="C706" s="1">
        <v>45881</v>
      </c>
      <c r="D706" t="str">
        <f t="shared" si="242"/>
        <v>5992-11-21</v>
      </c>
      <c r="E706" t="str">
        <f t="shared" si="237"/>
        <v xml:space="preserve">206  </v>
      </c>
      <c r="F706" t="str">
        <f t="shared" si="243"/>
        <v>$25,000,000 - $29,999,999</v>
      </c>
      <c r="G706" t="str">
        <f t="shared" si="239"/>
        <v>LET</v>
      </c>
      <c r="H706" t="str">
        <f t="shared" si="240"/>
        <v xml:space="preserve">LET CONSTRUCTION         </v>
      </c>
      <c r="I706" t="str">
        <f t="shared" si="244"/>
        <v xml:space="preserve">CONST OPS/RECONSTRUCTION           </v>
      </c>
      <c r="J706" t="str">
        <f t="shared" si="241"/>
        <v>LOC STR</v>
      </c>
      <c r="K706" t="str">
        <f t="shared" si="236"/>
        <v xml:space="preserve">DANE                          </v>
      </c>
      <c r="L706" t="str">
        <f t="shared" si="245"/>
        <v xml:space="preserve">CITY OF MADISON, JOHN NOLEN DRIVE  </v>
      </c>
      <c r="M706" t="str">
        <f t="shared" si="246"/>
        <v xml:space="preserve">LAKESIDE ST TO NORTH SHORE DR      </v>
      </c>
      <c r="N706">
        <v>0.86</v>
      </c>
      <c r="O706" t="str">
        <f>CLEAN("5992-11-28")</f>
        <v>5992-11-28</v>
      </c>
      <c r="P706" t="str">
        <f t="shared" si="238"/>
        <v xml:space="preserve">STP URBAN OVER 200,000                                                                              </v>
      </c>
    </row>
    <row r="707" spans="1:16" x14ac:dyDescent="0.25">
      <c r="A707" t="str">
        <f t="shared" si="230"/>
        <v>10</v>
      </c>
      <c r="B707" t="str">
        <f t="shared" si="231"/>
        <v>21</v>
      </c>
      <c r="C707" s="1">
        <v>45881</v>
      </c>
      <c r="D707" t="str">
        <f t="shared" ref="D707:D713" si="247">CLEAN("5992-11-22")</f>
        <v>5992-11-22</v>
      </c>
      <c r="E707" t="str">
        <f t="shared" ref="E707:E748" si="248">CLEAN("205  ")</f>
        <v xml:space="preserve">205  </v>
      </c>
      <c r="F707" t="str">
        <f t="shared" ref="F707:F720" si="249">CLEAN("$1,000,000 - $1,999,999  ")</f>
        <v xml:space="preserve">$1,000,000 - $1,999,999  </v>
      </c>
      <c r="G707" t="str">
        <f t="shared" si="239"/>
        <v>LET</v>
      </c>
      <c r="H707" t="str">
        <f t="shared" si="240"/>
        <v xml:space="preserve">LET CONSTRUCTION         </v>
      </c>
      <c r="I707" t="str">
        <f t="shared" ref="I707:I720" si="250">CLEAN("CONST OPS/BRIDGE REPLACEMENT       ")</f>
        <v xml:space="preserve">CONST OPS/BRIDGE REPLACEMENT       </v>
      </c>
      <c r="J707" t="str">
        <f t="shared" si="241"/>
        <v>LOC STR</v>
      </c>
      <c r="K707" t="str">
        <f t="shared" si="236"/>
        <v xml:space="preserve">DANE                          </v>
      </c>
      <c r="L707" t="str">
        <f t="shared" si="245"/>
        <v xml:space="preserve">CITY OF MADISON, JOHN NOLEN DRIVE  </v>
      </c>
      <c r="M707" t="str">
        <f t="shared" ref="M707:M713" si="251">CLEAN("MONONA BAY BRIDGE B-13-930 SB      ")</f>
        <v xml:space="preserve">MONONA BAY BRIDGE B-13-930 SB      </v>
      </c>
      <c r="N707">
        <v>2.3E-2</v>
      </c>
      <c r="O707" t="str">
        <f>CLEAN("5992-11-21")</f>
        <v>5992-11-21</v>
      </c>
      <c r="P707" t="str">
        <f t="shared" ref="P707:P748" si="252">CLEAN("LOCAL BRIDGES                                                                                       ")</f>
        <v xml:space="preserve">LOCAL BRIDGES                                                                                       </v>
      </c>
    </row>
    <row r="708" spans="1:16" x14ac:dyDescent="0.25">
      <c r="A708" t="str">
        <f t="shared" si="230"/>
        <v>10</v>
      </c>
      <c r="B708" t="str">
        <f t="shared" si="231"/>
        <v>21</v>
      </c>
      <c r="C708" s="1">
        <v>45881</v>
      </c>
      <c r="D708" t="str">
        <f t="shared" si="247"/>
        <v>5992-11-22</v>
      </c>
      <c r="E708" t="str">
        <f t="shared" si="248"/>
        <v xml:space="preserve">205  </v>
      </c>
      <c r="F708" t="str">
        <f t="shared" si="249"/>
        <v xml:space="preserve">$1,000,000 - $1,999,999  </v>
      </c>
      <c r="G708" t="str">
        <f t="shared" si="239"/>
        <v>LET</v>
      </c>
      <c r="H708" t="str">
        <f t="shared" si="240"/>
        <v xml:space="preserve">LET CONSTRUCTION         </v>
      </c>
      <c r="I708" t="str">
        <f t="shared" si="250"/>
        <v xml:space="preserve">CONST OPS/BRIDGE REPLACEMENT       </v>
      </c>
      <c r="J708" t="str">
        <f t="shared" si="241"/>
        <v>LOC STR</v>
      </c>
      <c r="K708" t="str">
        <f t="shared" si="236"/>
        <v xml:space="preserve">DANE                          </v>
      </c>
      <c r="L708" t="str">
        <f t="shared" si="245"/>
        <v xml:space="preserve">CITY OF MADISON, JOHN NOLEN DRIVE  </v>
      </c>
      <c r="M708" t="str">
        <f t="shared" si="251"/>
        <v xml:space="preserve">MONONA BAY BRIDGE B-13-930 SB      </v>
      </c>
      <c r="N708">
        <v>2.3E-2</v>
      </c>
      <c r="O708" t="str">
        <f>CLEAN("5992-11-23")</f>
        <v>5992-11-23</v>
      </c>
      <c r="P708" t="str">
        <f t="shared" si="252"/>
        <v xml:space="preserve">LOCAL BRIDGES                                                                                       </v>
      </c>
    </row>
    <row r="709" spans="1:16" x14ac:dyDescent="0.25">
      <c r="A709" t="str">
        <f t="shared" si="230"/>
        <v>10</v>
      </c>
      <c r="B709" t="str">
        <f t="shared" si="231"/>
        <v>21</v>
      </c>
      <c r="C709" s="1">
        <v>45881</v>
      </c>
      <c r="D709" t="str">
        <f t="shared" si="247"/>
        <v>5992-11-22</v>
      </c>
      <c r="E709" t="str">
        <f t="shared" si="248"/>
        <v xml:space="preserve">205  </v>
      </c>
      <c r="F709" t="str">
        <f t="shared" si="249"/>
        <v xml:space="preserve">$1,000,000 - $1,999,999  </v>
      </c>
      <c r="G709" t="str">
        <f t="shared" si="239"/>
        <v>LET</v>
      </c>
      <c r="H709" t="str">
        <f t="shared" si="240"/>
        <v xml:space="preserve">LET CONSTRUCTION         </v>
      </c>
      <c r="I709" t="str">
        <f t="shared" si="250"/>
        <v xml:space="preserve">CONST OPS/BRIDGE REPLACEMENT       </v>
      </c>
      <c r="J709" t="str">
        <f t="shared" si="241"/>
        <v>LOC STR</v>
      </c>
      <c r="K709" t="str">
        <f t="shared" si="236"/>
        <v xml:space="preserve">DANE                          </v>
      </c>
      <c r="L709" t="str">
        <f t="shared" si="245"/>
        <v xml:space="preserve">CITY OF MADISON, JOHN NOLEN DRIVE  </v>
      </c>
      <c r="M709" t="str">
        <f t="shared" si="251"/>
        <v xml:space="preserve">MONONA BAY BRIDGE B-13-930 SB      </v>
      </c>
      <c r="N709">
        <v>2.3E-2</v>
      </c>
      <c r="O709" t="str">
        <f>CLEAN("5992-11-24")</f>
        <v>5992-11-24</v>
      </c>
      <c r="P709" t="str">
        <f t="shared" si="252"/>
        <v xml:space="preserve">LOCAL BRIDGES                                                                                       </v>
      </c>
    </row>
    <row r="710" spans="1:16" x14ac:dyDescent="0.25">
      <c r="A710" t="str">
        <f t="shared" si="230"/>
        <v>10</v>
      </c>
      <c r="B710" t="str">
        <f t="shared" si="231"/>
        <v>21</v>
      </c>
      <c r="C710" s="1">
        <v>45881</v>
      </c>
      <c r="D710" t="str">
        <f t="shared" si="247"/>
        <v>5992-11-22</v>
      </c>
      <c r="E710" t="str">
        <f t="shared" si="248"/>
        <v xml:space="preserve">205  </v>
      </c>
      <c r="F710" t="str">
        <f t="shared" si="249"/>
        <v xml:space="preserve">$1,000,000 - $1,999,999  </v>
      </c>
      <c r="G710" t="str">
        <f t="shared" si="239"/>
        <v>LET</v>
      </c>
      <c r="H710" t="str">
        <f t="shared" si="240"/>
        <v xml:space="preserve">LET CONSTRUCTION         </v>
      </c>
      <c r="I710" t="str">
        <f t="shared" si="250"/>
        <v xml:space="preserve">CONST OPS/BRIDGE REPLACEMENT       </v>
      </c>
      <c r="J710" t="str">
        <f t="shared" si="241"/>
        <v>LOC STR</v>
      </c>
      <c r="K710" t="str">
        <f t="shared" si="236"/>
        <v xml:space="preserve">DANE                          </v>
      </c>
      <c r="L710" t="str">
        <f t="shared" si="245"/>
        <v xml:space="preserve">CITY OF MADISON, JOHN NOLEN DRIVE  </v>
      </c>
      <c r="M710" t="str">
        <f t="shared" si="251"/>
        <v xml:space="preserve">MONONA BAY BRIDGE B-13-930 SB      </v>
      </c>
      <c r="N710">
        <v>2.3E-2</v>
      </c>
      <c r="O710" t="str">
        <f>CLEAN("5992-11-25")</f>
        <v>5992-11-25</v>
      </c>
      <c r="P710" t="str">
        <f t="shared" si="252"/>
        <v xml:space="preserve">LOCAL BRIDGES                                                                                       </v>
      </c>
    </row>
    <row r="711" spans="1:16" x14ac:dyDescent="0.25">
      <c r="A711" t="str">
        <f t="shared" si="230"/>
        <v>10</v>
      </c>
      <c r="B711" t="str">
        <f t="shared" si="231"/>
        <v>21</v>
      </c>
      <c r="C711" s="1">
        <v>45881</v>
      </c>
      <c r="D711" t="str">
        <f t="shared" si="247"/>
        <v>5992-11-22</v>
      </c>
      <c r="E711" t="str">
        <f t="shared" si="248"/>
        <v xml:space="preserve">205  </v>
      </c>
      <c r="F711" t="str">
        <f t="shared" si="249"/>
        <v xml:space="preserve">$1,000,000 - $1,999,999  </v>
      </c>
      <c r="G711" t="str">
        <f t="shared" si="239"/>
        <v>LET</v>
      </c>
      <c r="H711" t="str">
        <f t="shared" si="240"/>
        <v xml:space="preserve">LET CONSTRUCTION         </v>
      </c>
      <c r="I711" t="str">
        <f t="shared" si="250"/>
        <v xml:space="preserve">CONST OPS/BRIDGE REPLACEMENT       </v>
      </c>
      <c r="J711" t="str">
        <f t="shared" si="241"/>
        <v>LOC STR</v>
      </c>
      <c r="K711" t="str">
        <f t="shared" si="236"/>
        <v xml:space="preserve">DANE                          </v>
      </c>
      <c r="L711" t="str">
        <f t="shared" si="245"/>
        <v xml:space="preserve">CITY OF MADISON, JOHN NOLEN DRIVE  </v>
      </c>
      <c r="M711" t="str">
        <f t="shared" si="251"/>
        <v xml:space="preserve">MONONA BAY BRIDGE B-13-930 SB      </v>
      </c>
      <c r="N711">
        <v>2.3E-2</v>
      </c>
      <c r="O711" t="str">
        <f>CLEAN("5992-11-26")</f>
        <v>5992-11-26</v>
      </c>
      <c r="P711" t="str">
        <f t="shared" si="252"/>
        <v xml:space="preserve">LOCAL BRIDGES                                                                                       </v>
      </c>
    </row>
    <row r="712" spans="1:16" x14ac:dyDescent="0.25">
      <c r="A712" t="str">
        <f t="shared" si="230"/>
        <v>10</v>
      </c>
      <c r="B712" t="str">
        <f t="shared" si="231"/>
        <v>21</v>
      </c>
      <c r="C712" s="1">
        <v>45881</v>
      </c>
      <c r="D712" t="str">
        <f t="shared" si="247"/>
        <v>5992-11-22</v>
      </c>
      <c r="E712" t="str">
        <f t="shared" si="248"/>
        <v xml:space="preserve">205  </v>
      </c>
      <c r="F712" t="str">
        <f t="shared" si="249"/>
        <v xml:space="preserve">$1,000,000 - $1,999,999  </v>
      </c>
      <c r="G712" t="str">
        <f t="shared" si="239"/>
        <v>LET</v>
      </c>
      <c r="H712" t="str">
        <f t="shared" si="240"/>
        <v xml:space="preserve">LET CONSTRUCTION         </v>
      </c>
      <c r="I712" t="str">
        <f t="shared" si="250"/>
        <v xml:space="preserve">CONST OPS/BRIDGE REPLACEMENT       </v>
      </c>
      <c r="J712" t="str">
        <f t="shared" si="241"/>
        <v>LOC STR</v>
      </c>
      <c r="K712" t="str">
        <f t="shared" si="236"/>
        <v xml:space="preserve">DANE                          </v>
      </c>
      <c r="L712" t="str">
        <f t="shared" si="245"/>
        <v xml:space="preserve">CITY OF MADISON, JOHN NOLEN DRIVE  </v>
      </c>
      <c r="M712" t="str">
        <f t="shared" si="251"/>
        <v xml:space="preserve">MONONA BAY BRIDGE B-13-930 SB      </v>
      </c>
      <c r="N712">
        <v>2.3E-2</v>
      </c>
      <c r="O712" t="str">
        <f>CLEAN("5992-11-27")</f>
        <v>5992-11-27</v>
      </c>
      <c r="P712" t="str">
        <f t="shared" si="252"/>
        <v xml:space="preserve">LOCAL BRIDGES                                                                                       </v>
      </c>
    </row>
    <row r="713" spans="1:16" x14ac:dyDescent="0.25">
      <c r="A713" t="str">
        <f t="shared" si="230"/>
        <v>10</v>
      </c>
      <c r="B713" t="str">
        <f t="shared" si="231"/>
        <v>21</v>
      </c>
      <c r="C713" s="1">
        <v>45881</v>
      </c>
      <c r="D713" t="str">
        <f t="shared" si="247"/>
        <v>5992-11-22</v>
      </c>
      <c r="E713" t="str">
        <f t="shared" si="248"/>
        <v xml:space="preserve">205  </v>
      </c>
      <c r="F713" t="str">
        <f t="shared" si="249"/>
        <v xml:space="preserve">$1,000,000 - $1,999,999  </v>
      </c>
      <c r="G713" t="str">
        <f t="shared" si="239"/>
        <v>LET</v>
      </c>
      <c r="H713" t="str">
        <f t="shared" si="240"/>
        <v xml:space="preserve">LET CONSTRUCTION         </v>
      </c>
      <c r="I713" t="str">
        <f t="shared" si="250"/>
        <v xml:space="preserve">CONST OPS/BRIDGE REPLACEMENT       </v>
      </c>
      <c r="J713" t="str">
        <f t="shared" si="241"/>
        <v>LOC STR</v>
      </c>
      <c r="K713" t="str">
        <f t="shared" si="236"/>
        <v xml:space="preserve">DANE                          </v>
      </c>
      <c r="L713" t="str">
        <f t="shared" si="245"/>
        <v xml:space="preserve">CITY OF MADISON, JOHN NOLEN DRIVE  </v>
      </c>
      <c r="M713" t="str">
        <f t="shared" si="251"/>
        <v xml:space="preserve">MONONA BAY BRIDGE B-13-930 SB      </v>
      </c>
      <c r="N713">
        <v>2.3E-2</v>
      </c>
      <c r="O713" t="str">
        <f>CLEAN("5992-11-28")</f>
        <v>5992-11-28</v>
      </c>
      <c r="P713" t="str">
        <f t="shared" si="252"/>
        <v xml:space="preserve">LOCAL BRIDGES                                                                                       </v>
      </c>
    </row>
    <row r="714" spans="1:16" x14ac:dyDescent="0.25">
      <c r="A714" t="str">
        <f t="shared" si="230"/>
        <v>10</v>
      </c>
      <c r="B714" t="str">
        <f t="shared" si="231"/>
        <v>21</v>
      </c>
      <c r="C714" s="1">
        <v>45881</v>
      </c>
      <c r="D714" t="str">
        <f t="shared" ref="D714:D720" si="253">CLEAN("5992-11-23")</f>
        <v>5992-11-23</v>
      </c>
      <c r="E714" t="str">
        <f t="shared" si="248"/>
        <v xml:space="preserve">205  </v>
      </c>
      <c r="F714" t="str">
        <f t="shared" si="249"/>
        <v xml:space="preserve">$1,000,000 - $1,999,999  </v>
      </c>
      <c r="G714" t="str">
        <f t="shared" si="239"/>
        <v>LET</v>
      </c>
      <c r="H714" t="str">
        <f t="shared" si="240"/>
        <v xml:space="preserve">LET CONSTRUCTION         </v>
      </c>
      <c r="I714" t="str">
        <f t="shared" si="250"/>
        <v xml:space="preserve">CONST OPS/BRIDGE REPLACEMENT       </v>
      </c>
      <c r="J714" t="str">
        <f t="shared" si="241"/>
        <v>LOC STR</v>
      </c>
      <c r="K714" t="str">
        <f t="shared" si="236"/>
        <v xml:space="preserve">DANE                          </v>
      </c>
      <c r="L714" t="str">
        <f t="shared" si="245"/>
        <v xml:space="preserve">CITY OF MADISON, JOHN NOLEN DRIVE  </v>
      </c>
      <c r="M714" t="str">
        <f t="shared" ref="M714:M720" si="254">CLEAN("MONONA BAY BRIDGE B-13-930 NB      ")</f>
        <v xml:space="preserve">MONONA BAY BRIDGE B-13-930 NB      </v>
      </c>
      <c r="N714">
        <v>2.3E-2</v>
      </c>
      <c r="O714" t="str">
        <f>CLEAN("5992-11-21")</f>
        <v>5992-11-21</v>
      </c>
      <c r="P714" t="str">
        <f t="shared" si="252"/>
        <v xml:space="preserve">LOCAL BRIDGES                                                                                       </v>
      </c>
    </row>
    <row r="715" spans="1:16" x14ac:dyDescent="0.25">
      <c r="A715" t="str">
        <f t="shared" si="230"/>
        <v>10</v>
      </c>
      <c r="B715" t="str">
        <f t="shared" si="231"/>
        <v>21</v>
      </c>
      <c r="C715" s="1">
        <v>45881</v>
      </c>
      <c r="D715" t="str">
        <f t="shared" si="253"/>
        <v>5992-11-23</v>
      </c>
      <c r="E715" t="str">
        <f t="shared" si="248"/>
        <v xml:space="preserve">205  </v>
      </c>
      <c r="F715" t="str">
        <f t="shared" si="249"/>
        <v xml:space="preserve">$1,000,000 - $1,999,999  </v>
      </c>
      <c r="G715" t="str">
        <f t="shared" si="239"/>
        <v>LET</v>
      </c>
      <c r="H715" t="str">
        <f t="shared" si="240"/>
        <v xml:space="preserve">LET CONSTRUCTION         </v>
      </c>
      <c r="I715" t="str">
        <f t="shared" si="250"/>
        <v xml:space="preserve">CONST OPS/BRIDGE REPLACEMENT       </v>
      </c>
      <c r="J715" t="str">
        <f t="shared" si="241"/>
        <v>LOC STR</v>
      </c>
      <c r="K715" t="str">
        <f t="shared" si="236"/>
        <v xml:space="preserve">DANE                          </v>
      </c>
      <c r="L715" t="str">
        <f t="shared" si="245"/>
        <v xml:space="preserve">CITY OF MADISON, JOHN NOLEN DRIVE  </v>
      </c>
      <c r="M715" t="str">
        <f t="shared" si="254"/>
        <v xml:space="preserve">MONONA BAY BRIDGE B-13-930 NB      </v>
      </c>
      <c r="N715">
        <v>2.3E-2</v>
      </c>
      <c r="O715" t="str">
        <f>CLEAN("5992-11-22")</f>
        <v>5992-11-22</v>
      </c>
      <c r="P715" t="str">
        <f t="shared" si="252"/>
        <v xml:space="preserve">LOCAL BRIDGES                                                                                       </v>
      </c>
    </row>
    <row r="716" spans="1:16" x14ac:dyDescent="0.25">
      <c r="A716" t="str">
        <f t="shared" si="230"/>
        <v>10</v>
      </c>
      <c r="B716" t="str">
        <f t="shared" si="231"/>
        <v>21</v>
      </c>
      <c r="C716" s="1">
        <v>45881</v>
      </c>
      <c r="D716" t="str">
        <f t="shared" si="253"/>
        <v>5992-11-23</v>
      </c>
      <c r="E716" t="str">
        <f t="shared" si="248"/>
        <v xml:space="preserve">205  </v>
      </c>
      <c r="F716" t="str">
        <f t="shared" si="249"/>
        <v xml:space="preserve">$1,000,000 - $1,999,999  </v>
      </c>
      <c r="G716" t="str">
        <f t="shared" si="239"/>
        <v>LET</v>
      </c>
      <c r="H716" t="str">
        <f t="shared" si="240"/>
        <v xml:space="preserve">LET CONSTRUCTION         </v>
      </c>
      <c r="I716" t="str">
        <f t="shared" si="250"/>
        <v xml:space="preserve">CONST OPS/BRIDGE REPLACEMENT       </v>
      </c>
      <c r="J716" t="str">
        <f t="shared" si="241"/>
        <v>LOC STR</v>
      </c>
      <c r="K716" t="str">
        <f t="shared" si="236"/>
        <v xml:space="preserve">DANE                          </v>
      </c>
      <c r="L716" t="str">
        <f t="shared" si="245"/>
        <v xml:space="preserve">CITY OF MADISON, JOHN NOLEN DRIVE  </v>
      </c>
      <c r="M716" t="str">
        <f t="shared" si="254"/>
        <v xml:space="preserve">MONONA BAY BRIDGE B-13-930 NB      </v>
      </c>
      <c r="N716">
        <v>2.3E-2</v>
      </c>
      <c r="O716" t="str">
        <f>CLEAN("5992-11-24")</f>
        <v>5992-11-24</v>
      </c>
      <c r="P716" t="str">
        <f t="shared" si="252"/>
        <v xml:space="preserve">LOCAL BRIDGES                                                                                       </v>
      </c>
    </row>
    <row r="717" spans="1:16" x14ac:dyDescent="0.25">
      <c r="A717" t="str">
        <f t="shared" si="230"/>
        <v>10</v>
      </c>
      <c r="B717" t="str">
        <f t="shared" si="231"/>
        <v>21</v>
      </c>
      <c r="C717" s="1">
        <v>45881</v>
      </c>
      <c r="D717" t="str">
        <f t="shared" si="253"/>
        <v>5992-11-23</v>
      </c>
      <c r="E717" t="str">
        <f t="shared" si="248"/>
        <v xml:space="preserve">205  </v>
      </c>
      <c r="F717" t="str">
        <f t="shared" si="249"/>
        <v xml:space="preserve">$1,000,000 - $1,999,999  </v>
      </c>
      <c r="G717" t="str">
        <f t="shared" si="239"/>
        <v>LET</v>
      </c>
      <c r="H717" t="str">
        <f t="shared" si="240"/>
        <v xml:space="preserve">LET CONSTRUCTION         </v>
      </c>
      <c r="I717" t="str">
        <f t="shared" si="250"/>
        <v xml:space="preserve">CONST OPS/BRIDGE REPLACEMENT       </v>
      </c>
      <c r="J717" t="str">
        <f t="shared" si="241"/>
        <v>LOC STR</v>
      </c>
      <c r="K717" t="str">
        <f t="shared" si="236"/>
        <v xml:space="preserve">DANE                          </v>
      </c>
      <c r="L717" t="str">
        <f t="shared" si="245"/>
        <v xml:space="preserve">CITY OF MADISON, JOHN NOLEN DRIVE  </v>
      </c>
      <c r="M717" t="str">
        <f t="shared" si="254"/>
        <v xml:space="preserve">MONONA BAY BRIDGE B-13-930 NB      </v>
      </c>
      <c r="N717">
        <v>2.3E-2</v>
      </c>
      <c r="O717" t="str">
        <f>CLEAN("5992-11-25")</f>
        <v>5992-11-25</v>
      </c>
      <c r="P717" t="str">
        <f t="shared" si="252"/>
        <v xml:space="preserve">LOCAL BRIDGES                                                                                       </v>
      </c>
    </row>
    <row r="718" spans="1:16" x14ac:dyDescent="0.25">
      <c r="A718" t="str">
        <f t="shared" si="230"/>
        <v>10</v>
      </c>
      <c r="B718" t="str">
        <f t="shared" si="231"/>
        <v>21</v>
      </c>
      <c r="C718" s="1">
        <v>45881</v>
      </c>
      <c r="D718" t="str">
        <f t="shared" si="253"/>
        <v>5992-11-23</v>
      </c>
      <c r="E718" t="str">
        <f t="shared" si="248"/>
        <v xml:space="preserve">205  </v>
      </c>
      <c r="F718" t="str">
        <f t="shared" si="249"/>
        <v xml:space="preserve">$1,000,000 - $1,999,999  </v>
      </c>
      <c r="G718" t="str">
        <f t="shared" si="239"/>
        <v>LET</v>
      </c>
      <c r="H718" t="str">
        <f t="shared" si="240"/>
        <v xml:space="preserve">LET CONSTRUCTION         </v>
      </c>
      <c r="I718" t="str">
        <f t="shared" si="250"/>
        <v xml:space="preserve">CONST OPS/BRIDGE REPLACEMENT       </v>
      </c>
      <c r="J718" t="str">
        <f t="shared" si="241"/>
        <v>LOC STR</v>
      </c>
      <c r="K718" t="str">
        <f t="shared" si="236"/>
        <v xml:space="preserve">DANE                          </v>
      </c>
      <c r="L718" t="str">
        <f t="shared" si="245"/>
        <v xml:space="preserve">CITY OF MADISON, JOHN NOLEN DRIVE  </v>
      </c>
      <c r="M718" t="str">
        <f t="shared" si="254"/>
        <v xml:space="preserve">MONONA BAY BRIDGE B-13-930 NB      </v>
      </c>
      <c r="N718">
        <v>2.3E-2</v>
      </c>
      <c r="O718" t="str">
        <f>CLEAN("5992-11-26")</f>
        <v>5992-11-26</v>
      </c>
      <c r="P718" t="str">
        <f t="shared" si="252"/>
        <v xml:space="preserve">LOCAL BRIDGES                                                                                       </v>
      </c>
    </row>
    <row r="719" spans="1:16" x14ac:dyDescent="0.25">
      <c r="A719" t="str">
        <f t="shared" si="230"/>
        <v>10</v>
      </c>
      <c r="B719" t="str">
        <f t="shared" si="231"/>
        <v>21</v>
      </c>
      <c r="C719" s="1">
        <v>45881</v>
      </c>
      <c r="D719" t="str">
        <f t="shared" si="253"/>
        <v>5992-11-23</v>
      </c>
      <c r="E719" t="str">
        <f t="shared" si="248"/>
        <v xml:space="preserve">205  </v>
      </c>
      <c r="F719" t="str">
        <f t="shared" si="249"/>
        <v xml:space="preserve">$1,000,000 - $1,999,999  </v>
      </c>
      <c r="G719" t="str">
        <f t="shared" si="239"/>
        <v>LET</v>
      </c>
      <c r="H719" t="str">
        <f t="shared" si="240"/>
        <v xml:space="preserve">LET CONSTRUCTION         </v>
      </c>
      <c r="I719" t="str">
        <f t="shared" si="250"/>
        <v xml:space="preserve">CONST OPS/BRIDGE REPLACEMENT       </v>
      </c>
      <c r="J719" t="str">
        <f t="shared" si="241"/>
        <v>LOC STR</v>
      </c>
      <c r="K719" t="str">
        <f t="shared" si="236"/>
        <v xml:space="preserve">DANE                          </v>
      </c>
      <c r="L719" t="str">
        <f t="shared" si="245"/>
        <v xml:space="preserve">CITY OF MADISON, JOHN NOLEN DRIVE  </v>
      </c>
      <c r="M719" t="str">
        <f t="shared" si="254"/>
        <v xml:space="preserve">MONONA BAY BRIDGE B-13-930 NB      </v>
      </c>
      <c r="N719">
        <v>2.3E-2</v>
      </c>
      <c r="O719" t="str">
        <f>CLEAN("5992-11-27")</f>
        <v>5992-11-27</v>
      </c>
      <c r="P719" t="str">
        <f t="shared" si="252"/>
        <v xml:space="preserve">LOCAL BRIDGES                                                                                       </v>
      </c>
    </row>
    <row r="720" spans="1:16" x14ac:dyDescent="0.25">
      <c r="A720" t="str">
        <f t="shared" si="230"/>
        <v>10</v>
      </c>
      <c r="B720" t="str">
        <f t="shared" si="231"/>
        <v>21</v>
      </c>
      <c r="C720" s="1">
        <v>45881</v>
      </c>
      <c r="D720" t="str">
        <f t="shared" si="253"/>
        <v>5992-11-23</v>
      </c>
      <c r="E720" t="str">
        <f t="shared" si="248"/>
        <v xml:space="preserve">205  </v>
      </c>
      <c r="F720" t="str">
        <f t="shared" si="249"/>
        <v xml:space="preserve">$1,000,000 - $1,999,999  </v>
      </c>
      <c r="G720" t="str">
        <f t="shared" si="239"/>
        <v>LET</v>
      </c>
      <c r="H720" t="str">
        <f t="shared" si="240"/>
        <v xml:space="preserve">LET CONSTRUCTION         </v>
      </c>
      <c r="I720" t="str">
        <f t="shared" si="250"/>
        <v xml:space="preserve">CONST OPS/BRIDGE REPLACEMENT       </v>
      </c>
      <c r="J720" t="str">
        <f t="shared" si="241"/>
        <v>LOC STR</v>
      </c>
      <c r="K720" t="str">
        <f t="shared" si="236"/>
        <v xml:space="preserve">DANE                          </v>
      </c>
      <c r="L720" t="str">
        <f t="shared" si="245"/>
        <v xml:space="preserve">CITY OF MADISON, JOHN NOLEN DRIVE  </v>
      </c>
      <c r="M720" t="str">
        <f t="shared" si="254"/>
        <v xml:space="preserve">MONONA BAY BRIDGE B-13-930 NB      </v>
      </c>
      <c r="N720">
        <v>2.3E-2</v>
      </c>
      <c r="O720" t="str">
        <f>CLEAN("5992-11-28")</f>
        <v>5992-11-28</v>
      </c>
      <c r="P720" t="str">
        <f t="shared" si="252"/>
        <v xml:space="preserve">LOCAL BRIDGES                                                                                       </v>
      </c>
    </row>
    <row r="721" spans="1:16" x14ac:dyDescent="0.25">
      <c r="A721" t="str">
        <f t="shared" si="230"/>
        <v>10</v>
      </c>
      <c r="B721" t="str">
        <f t="shared" si="231"/>
        <v>21</v>
      </c>
      <c r="C721" s="1">
        <v>45881</v>
      </c>
      <c r="D721" t="str">
        <f t="shared" ref="D721:D727" si="255">CLEAN("5992-11-24")</f>
        <v>5992-11-24</v>
      </c>
      <c r="E721" t="str">
        <f t="shared" si="248"/>
        <v xml:space="preserve">205  </v>
      </c>
      <c r="F721" t="str">
        <f t="shared" ref="F721:F727" si="256">CLEAN("$2,000,000 - $2,999,999  ")</f>
        <v xml:space="preserve">$2,000,000 - $2,999,999  </v>
      </c>
      <c r="G721" t="str">
        <f t="shared" si="239"/>
        <v>LET</v>
      </c>
      <c r="H721" t="str">
        <f t="shared" si="240"/>
        <v xml:space="preserve">LET CONSTRUCTION         </v>
      </c>
      <c r="I721" t="str">
        <f t="shared" ref="I721:I748" si="257">CLEAN("CONST/BRIDGE REPLACEMENT           ")</f>
        <v xml:space="preserve">CONST/BRIDGE REPLACEMENT           </v>
      </c>
      <c r="J721" t="str">
        <f t="shared" si="241"/>
        <v>LOC STR</v>
      </c>
      <c r="K721" t="str">
        <f t="shared" si="236"/>
        <v xml:space="preserve">DANE                          </v>
      </c>
      <c r="L721" t="str">
        <f t="shared" si="245"/>
        <v xml:space="preserve">CITY OF MADISON, JOHN NOLEN DRIVE  </v>
      </c>
      <c r="M721" t="str">
        <f t="shared" ref="M721:M727" si="258">CLEAN("LAKE MONONA BRIDGE B-13-0924 NB    ")</f>
        <v xml:space="preserve">LAKE MONONA BRIDGE B-13-0924 NB    </v>
      </c>
      <c r="N721">
        <v>3.3000000000000002E-2</v>
      </c>
      <c r="O721" t="str">
        <f>CLEAN("5992-11-21")</f>
        <v>5992-11-21</v>
      </c>
      <c r="P721" t="str">
        <f t="shared" si="252"/>
        <v xml:space="preserve">LOCAL BRIDGES                                                                                       </v>
      </c>
    </row>
    <row r="722" spans="1:16" x14ac:dyDescent="0.25">
      <c r="A722" t="str">
        <f t="shared" si="230"/>
        <v>10</v>
      </c>
      <c r="B722" t="str">
        <f t="shared" si="231"/>
        <v>21</v>
      </c>
      <c r="C722" s="1">
        <v>45881</v>
      </c>
      <c r="D722" t="str">
        <f t="shared" si="255"/>
        <v>5992-11-24</v>
      </c>
      <c r="E722" t="str">
        <f t="shared" si="248"/>
        <v xml:space="preserve">205  </v>
      </c>
      <c r="F722" t="str">
        <f t="shared" si="256"/>
        <v xml:space="preserve">$2,000,000 - $2,999,999  </v>
      </c>
      <c r="G722" t="str">
        <f t="shared" si="239"/>
        <v>LET</v>
      </c>
      <c r="H722" t="str">
        <f t="shared" si="240"/>
        <v xml:space="preserve">LET CONSTRUCTION         </v>
      </c>
      <c r="I722" t="str">
        <f t="shared" si="257"/>
        <v xml:space="preserve">CONST/BRIDGE REPLACEMENT           </v>
      </c>
      <c r="J722" t="str">
        <f t="shared" si="241"/>
        <v>LOC STR</v>
      </c>
      <c r="K722" t="str">
        <f t="shared" si="236"/>
        <v xml:space="preserve">DANE                          </v>
      </c>
      <c r="L722" t="str">
        <f t="shared" si="245"/>
        <v xml:space="preserve">CITY OF MADISON, JOHN NOLEN DRIVE  </v>
      </c>
      <c r="M722" t="str">
        <f t="shared" si="258"/>
        <v xml:space="preserve">LAKE MONONA BRIDGE B-13-0924 NB    </v>
      </c>
      <c r="N722">
        <v>3.3000000000000002E-2</v>
      </c>
      <c r="O722" t="str">
        <f>CLEAN("5992-11-22")</f>
        <v>5992-11-22</v>
      </c>
      <c r="P722" t="str">
        <f t="shared" si="252"/>
        <v xml:space="preserve">LOCAL BRIDGES                                                                                       </v>
      </c>
    </row>
    <row r="723" spans="1:16" x14ac:dyDescent="0.25">
      <c r="A723" t="str">
        <f t="shared" si="230"/>
        <v>10</v>
      </c>
      <c r="B723" t="str">
        <f t="shared" si="231"/>
        <v>21</v>
      </c>
      <c r="C723" s="1">
        <v>45881</v>
      </c>
      <c r="D723" t="str">
        <f t="shared" si="255"/>
        <v>5992-11-24</v>
      </c>
      <c r="E723" t="str">
        <f t="shared" si="248"/>
        <v xml:space="preserve">205  </v>
      </c>
      <c r="F723" t="str">
        <f t="shared" si="256"/>
        <v xml:space="preserve">$2,000,000 - $2,999,999  </v>
      </c>
      <c r="G723" t="str">
        <f t="shared" si="239"/>
        <v>LET</v>
      </c>
      <c r="H723" t="str">
        <f t="shared" si="240"/>
        <v xml:space="preserve">LET CONSTRUCTION         </v>
      </c>
      <c r="I723" t="str">
        <f t="shared" si="257"/>
        <v xml:space="preserve">CONST/BRIDGE REPLACEMENT           </v>
      </c>
      <c r="J723" t="str">
        <f t="shared" si="241"/>
        <v>LOC STR</v>
      </c>
      <c r="K723" t="str">
        <f t="shared" si="236"/>
        <v xml:space="preserve">DANE                          </v>
      </c>
      <c r="L723" t="str">
        <f t="shared" si="245"/>
        <v xml:space="preserve">CITY OF MADISON, JOHN NOLEN DRIVE  </v>
      </c>
      <c r="M723" t="str">
        <f t="shared" si="258"/>
        <v xml:space="preserve">LAKE MONONA BRIDGE B-13-0924 NB    </v>
      </c>
      <c r="N723">
        <v>3.3000000000000002E-2</v>
      </c>
      <c r="O723" t="str">
        <f>CLEAN("5992-11-23")</f>
        <v>5992-11-23</v>
      </c>
      <c r="P723" t="str">
        <f t="shared" si="252"/>
        <v xml:space="preserve">LOCAL BRIDGES                                                                                       </v>
      </c>
    </row>
    <row r="724" spans="1:16" x14ac:dyDescent="0.25">
      <c r="A724" t="str">
        <f t="shared" si="230"/>
        <v>10</v>
      </c>
      <c r="B724" t="str">
        <f t="shared" si="231"/>
        <v>21</v>
      </c>
      <c r="C724" s="1">
        <v>45881</v>
      </c>
      <c r="D724" t="str">
        <f t="shared" si="255"/>
        <v>5992-11-24</v>
      </c>
      <c r="E724" t="str">
        <f t="shared" si="248"/>
        <v xml:space="preserve">205  </v>
      </c>
      <c r="F724" t="str">
        <f t="shared" si="256"/>
        <v xml:space="preserve">$2,000,000 - $2,999,999  </v>
      </c>
      <c r="G724" t="str">
        <f t="shared" si="239"/>
        <v>LET</v>
      </c>
      <c r="H724" t="str">
        <f t="shared" si="240"/>
        <v xml:space="preserve">LET CONSTRUCTION         </v>
      </c>
      <c r="I724" t="str">
        <f t="shared" si="257"/>
        <v xml:space="preserve">CONST/BRIDGE REPLACEMENT           </v>
      </c>
      <c r="J724" t="str">
        <f t="shared" si="241"/>
        <v>LOC STR</v>
      </c>
      <c r="K724" t="str">
        <f t="shared" si="236"/>
        <v xml:space="preserve">DANE                          </v>
      </c>
      <c r="L724" t="str">
        <f t="shared" si="245"/>
        <v xml:space="preserve">CITY OF MADISON, JOHN NOLEN DRIVE  </v>
      </c>
      <c r="M724" t="str">
        <f t="shared" si="258"/>
        <v xml:space="preserve">LAKE MONONA BRIDGE B-13-0924 NB    </v>
      </c>
      <c r="N724">
        <v>3.3000000000000002E-2</v>
      </c>
      <c r="O724" t="str">
        <f>CLEAN("5992-11-25")</f>
        <v>5992-11-25</v>
      </c>
      <c r="P724" t="str">
        <f t="shared" si="252"/>
        <v xml:space="preserve">LOCAL BRIDGES                                                                                       </v>
      </c>
    </row>
    <row r="725" spans="1:16" x14ac:dyDescent="0.25">
      <c r="A725" t="str">
        <f t="shared" si="230"/>
        <v>10</v>
      </c>
      <c r="B725" t="str">
        <f t="shared" si="231"/>
        <v>21</v>
      </c>
      <c r="C725" s="1">
        <v>45881</v>
      </c>
      <c r="D725" t="str">
        <f t="shared" si="255"/>
        <v>5992-11-24</v>
      </c>
      <c r="E725" t="str">
        <f t="shared" si="248"/>
        <v xml:space="preserve">205  </v>
      </c>
      <c r="F725" t="str">
        <f t="shared" si="256"/>
        <v xml:space="preserve">$2,000,000 - $2,999,999  </v>
      </c>
      <c r="G725" t="str">
        <f t="shared" si="239"/>
        <v>LET</v>
      </c>
      <c r="H725" t="str">
        <f t="shared" si="240"/>
        <v xml:space="preserve">LET CONSTRUCTION         </v>
      </c>
      <c r="I725" t="str">
        <f t="shared" si="257"/>
        <v xml:space="preserve">CONST/BRIDGE REPLACEMENT           </v>
      </c>
      <c r="J725" t="str">
        <f t="shared" si="241"/>
        <v>LOC STR</v>
      </c>
      <c r="K725" t="str">
        <f t="shared" si="236"/>
        <v xml:space="preserve">DANE                          </v>
      </c>
      <c r="L725" t="str">
        <f t="shared" si="245"/>
        <v xml:space="preserve">CITY OF MADISON, JOHN NOLEN DRIVE  </v>
      </c>
      <c r="M725" t="str">
        <f t="shared" si="258"/>
        <v xml:space="preserve">LAKE MONONA BRIDGE B-13-0924 NB    </v>
      </c>
      <c r="N725">
        <v>3.3000000000000002E-2</v>
      </c>
      <c r="O725" t="str">
        <f>CLEAN("5992-11-26")</f>
        <v>5992-11-26</v>
      </c>
      <c r="P725" t="str">
        <f t="shared" si="252"/>
        <v xml:space="preserve">LOCAL BRIDGES                                                                                       </v>
      </c>
    </row>
    <row r="726" spans="1:16" x14ac:dyDescent="0.25">
      <c r="A726" t="str">
        <f t="shared" si="230"/>
        <v>10</v>
      </c>
      <c r="B726" t="str">
        <f t="shared" si="231"/>
        <v>21</v>
      </c>
      <c r="C726" s="1">
        <v>45881</v>
      </c>
      <c r="D726" t="str">
        <f t="shared" si="255"/>
        <v>5992-11-24</v>
      </c>
      <c r="E726" t="str">
        <f t="shared" si="248"/>
        <v xml:space="preserve">205  </v>
      </c>
      <c r="F726" t="str">
        <f t="shared" si="256"/>
        <v xml:space="preserve">$2,000,000 - $2,999,999  </v>
      </c>
      <c r="G726" t="str">
        <f t="shared" si="239"/>
        <v>LET</v>
      </c>
      <c r="H726" t="str">
        <f t="shared" si="240"/>
        <v xml:space="preserve">LET CONSTRUCTION         </v>
      </c>
      <c r="I726" t="str">
        <f t="shared" si="257"/>
        <v xml:space="preserve">CONST/BRIDGE REPLACEMENT           </v>
      </c>
      <c r="J726" t="str">
        <f t="shared" si="241"/>
        <v>LOC STR</v>
      </c>
      <c r="K726" t="str">
        <f t="shared" ref="K726:K757" si="259">CLEAN("DANE                          ")</f>
        <v xml:space="preserve">DANE                          </v>
      </c>
      <c r="L726" t="str">
        <f t="shared" si="245"/>
        <v xml:space="preserve">CITY OF MADISON, JOHN NOLEN DRIVE  </v>
      </c>
      <c r="M726" t="str">
        <f t="shared" si="258"/>
        <v xml:space="preserve">LAKE MONONA BRIDGE B-13-0924 NB    </v>
      </c>
      <c r="N726">
        <v>3.3000000000000002E-2</v>
      </c>
      <c r="O726" t="str">
        <f>CLEAN("5992-11-27")</f>
        <v>5992-11-27</v>
      </c>
      <c r="P726" t="str">
        <f t="shared" si="252"/>
        <v xml:space="preserve">LOCAL BRIDGES                                                                                       </v>
      </c>
    </row>
    <row r="727" spans="1:16" x14ac:dyDescent="0.25">
      <c r="A727" t="str">
        <f t="shared" si="230"/>
        <v>10</v>
      </c>
      <c r="B727" t="str">
        <f t="shared" si="231"/>
        <v>21</v>
      </c>
      <c r="C727" s="1">
        <v>45881</v>
      </c>
      <c r="D727" t="str">
        <f t="shared" si="255"/>
        <v>5992-11-24</v>
      </c>
      <c r="E727" t="str">
        <f t="shared" si="248"/>
        <v xml:space="preserve">205  </v>
      </c>
      <c r="F727" t="str">
        <f t="shared" si="256"/>
        <v xml:space="preserve">$2,000,000 - $2,999,999  </v>
      </c>
      <c r="G727" t="str">
        <f t="shared" si="239"/>
        <v>LET</v>
      </c>
      <c r="H727" t="str">
        <f t="shared" si="240"/>
        <v xml:space="preserve">LET CONSTRUCTION         </v>
      </c>
      <c r="I727" t="str">
        <f t="shared" si="257"/>
        <v xml:space="preserve">CONST/BRIDGE REPLACEMENT           </v>
      </c>
      <c r="J727" t="str">
        <f t="shared" si="241"/>
        <v>LOC STR</v>
      </c>
      <c r="K727" t="str">
        <f t="shared" si="259"/>
        <v xml:space="preserve">DANE                          </v>
      </c>
      <c r="L727" t="str">
        <f t="shared" si="245"/>
        <v xml:space="preserve">CITY OF MADISON, JOHN NOLEN DRIVE  </v>
      </c>
      <c r="M727" t="str">
        <f t="shared" si="258"/>
        <v xml:space="preserve">LAKE MONONA BRIDGE B-13-0924 NB    </v>
      </c>
      <c r="N727">
        <v>3.3000000000000002E-2</v>
      </c>
      <c r="O727" t="str">
        <f>CLEAN("5992-11-28")</f>
        <v>5992-11-28</v>
      </c>
      <c r="P727" t="str">
        <f t="shared" si="252"/>
        <v xml:space="preserve">LOCAL BRIDGES                                                                                       </v>
      </c>
    </row>
    <row r="728" spans="1:16" x14ac:dyDescent="0.25">
      <c r="A728" t="str">
        <f t="shared" si="230"/>
        <v>10</v>
      </c>
      <c r="B728" t="str">
        <f t="shared" si="231"/>
        <v>21</v>
      </c>
      <c r="C728" s="1">
        <v>45881</v>
      </c>
      <c r="D728" t="str">
        <f t="shared" ref="D728:D734" si="260">CLEAN("5992-11-25")</f>
        <v>5992-11-25</v>
      </c>
      <c r="E728" t="str">
        <f t="shared" si="248"/>
        <v xml:space="preserve">205  </v>
      </c>
      <c r="F728" t="str">
        <f t="shared" ref="F728:F734" si="261">CLEAN("$1,000,000 - $1,999,999  ")</f>
        <v xml:space="preserve">$1,000,000 - $1,999,999  </v>
      </c>
      <c r="G728" t="str">
        <f t="shared" si="239"/>
        <v>LET</v>
      </c>
      <c r="H728" t="str">
        <f t="shared" si="240"/>
        <v xml:space="preserve">LET CONSTRUCTION         </v>
      </c>
      <c r="I728" t="str">
        <f t="shared" si="257"/>
        <v xml:space="preserve">CONST/BRIDGE REPLACEMENT           </v>
      </c>
      <c r="J728" t="str">
        <f t="shared" si="241"/>
        <v>LOC STR</v>
      </c>
      <c r="K728" t="str">
        <f t="shared" si="259"/>
        <v xml:space="preserve">DANE                          </v>
      </c>
      <c r="L728" t="str">
        <f t="shared" si="245"/>
        <v xml:space="preserve">CITY OF MADISON, JOHN NOLEN DRIVE  </v>
      </c>
      <c r="M728" t="str">
        <f t="shared" ref="M728:M734" si="262">CLEAN("LAKE MONONA BRIDGE B-13-0924 SB    ")</f>
        <v xml:space="preserve">LAKE MONONA BRIDGE B-13-0924 SB    </v>
      </c>
      <c r="N728">
        <v>3.3000000000000002E-2</v>
      </c>
      <c r="O728" t="str">
        <f>CLEAN("5992-11-21")</f>
        <v>5992-11-21</v>
      </c>
      <c r="P728" t="str">
        <f t="shared" si="252"/>
        <v xml:space="preserve">LOCAL BRIDGES                                                                                       </v>
      </c>
    </row>
    <row r="729" spans="1:16" x14ac:dyDescent="0.25">
      <c r="A729" t="str">
        <f t="shared" si="230"/>
        <v>10</v>
      </c>
      <c r="B729" t="str">
        <f t="shared" si="231"/>
        <v>21</v>
      </c>
      <c r="C729" s="1">
        <v>45881</v>
      </c>
      <c r="D729" t="str">
        <f t="shared" si="260"/>
        <v>5992-11-25</v>
      </c>
      <c r="E729" t="str">
        <f t="shared" si="248"/>
        <v xml:space="preserve">205  </v>
      </c>
      <c r="F729" t="str">
        <f t="shared" si="261"/>
        <v xml:space="preserve">$1,000,000 - $1,999,999  </v>
      </c>
      <c r="G729" t="str">
        <f t="shared" si="239"/>
        <v>LET</v>
      </c>
      <c r="H729" t="str">
        <f t="shared" si="240"/>
        <v xml:space="preserve">LET CONSTRUCTION         </v>
      </c>
      <c r="I729" t="str">
        <f t="shared" si="257"/>
        <v xml:space="preserve">CONST/BRIDGE REPLACEMENT           </v>
      </c>
      <c r="J729" t="str">
        <f t="shared" si="241"/>
        <v>LOC STR</v>
      </c>
      <c r="K729" t="str">
        <f t="shared" si="259"/>
        <v xml:space="preserve">DANE                          </v>
      </c>
      <c r="L729" t="str">
        <f t="shared" si="245"/>
        <v xml:space="preserve">CITY OF MADISON, JOHN NOLEN DRIVE  </v>
      </c>
      <c r="M729" t="str">
        <f t="shared" si="262"/>
        <v xml:space="preserve">LAKE MONONA BRIDGE B-13-0924 SB    </v>
      </c>
      <c r="N729">
        <v>3.3000000000000002E-2</v>
      </c>
      <c r="O729" t="str">
        <f>CLEAN("5992-11-22")</f>
        <v>5992-11-22</v>
      </c>
      <c r="P729" t="str">
        <f t="shared" si="252"/>
        <v xml:space="preserve">LOCAL BRIDGES                                                                                       </v>
      </c>
    </row>
    <row r="730" spans="1:16" x14ac:dyDescent="0.25">
      <c r="A730" t="str">
        <f t="shared" si="230"/>
        <v>10</v>
      </c>
      <c r="B730" t="str">
        <f t="shared" si="231"/>
        <v>21</v>
      </c>
      <c r="C730" s="1">
        <v>45881</v>
      </c>
      <c r="D730" t="str">
        <f t="shared" si="260"/>
        <v>5992-11-25</v>
      </c>
      <c r="E730" t="str">
        <f t="shared" si="248"/>
        <v xml:space="preserve">205  </v>
      </c>
      <c r="F730" t="str">
        <f t="shared" si="261"/>
        <v xml:space="preserve">$1,000,000 - $1,999,999  </v>
      </c>
      <c r="G730" t="str">
        <f t="shared" si="239"/>
        <v>LET</v>
      </c>
      <c r="H730" t="str">
        <f t="shared" si="240"/>
        <v xml:space="preserve">LET CONSTRUCTION         </v>
      </c>
      <c r="I730" t="str">
        <f t="shared" si="257"/>
        <v xml:space="preserve">CONST/BRIDGE REPLACEMENT           </v>
      </c>
      <c r="J730" t="str">
        <f t="shared" si="241"/>
        <v>LOC STR</v>
      </c>
      <c r="K730" t="str">
        <f t="shared" si="259"/>
        <v xml:space="preserve">DANE                          </v>
      </c>
      <c r="L730" t="str">
        <f t="shared" si="245"/>
        <v xml:space="preserve">CITY OF MADISON, JOHN NOLEN DRIVE  </v>
      </c>
      <c r="M730" t="str">
        <f t="shared" si="262"/>
        <v xml:space="preserve">LAKE MONONA BRIDGE B-13-0924 SB    </v>
      </c>
      <c r="N730">
        <v>3.3000000000000002E-2</v>
      </c>
      <c r="O730" t="str">
        <f>CLEAN("5992-11-23")</f>
        <v>5992-11-23</v>
      </c>
      <c r="P730" t="str">
        <f t="shared" si="252"/>
        <v xml:space="preserve">LOCAL BRIDGES                                                                                       </v>
      </c>
    </row>
    <row r="731" spans="1:16" x14ac:dyDescent="0.25">
      <c r="A731" t="str">
        <f t="shared" ref="A731:A794" si="263">CLEAN("10")</f>
        <v>10</v>
      </c>
      <c r="B731" t="str">
        <f t="shared" si="231"/>
        <v>21</v>
      </c>
      <c r="C731" s="1">
        <v>45881</v>
      </c>
      <c r="D731" t="str">
        <f t="shared" si="260"/>
        <v>5992-11-25</v>
      </c>
      <c r="E731" t="str">
        <f t="shared" si="248"/>
        <v xml:space="preserve">205  </v>
      </c>
      <c r="F731" t="str">
        <f t="shared" si="261"/>
        <v xml:space="preserve">$1,000,000 - $1,999,999  </v>
      </c>
      <c r="G731" t="str">
        <f t="shared" ref="G731:G756" si="264">CLEAN("LET")</f>
        <v>LET</v>
      </c>
      <c r="H731" t="str">
        <f t="shared" ref="H731:H756" si="265">CLEAN("LET CONSTRUCTION         ")</f>
        <v xml:space="preserve">LET CONSTRUCTION         </v>
      </c>
      <c r="I731" t="str">
        <f t="shared" si="257"/>
        <v xml:space="preserve">CONST/BRIDGE REPLACEMENT           </v>
      </c>
      <c r="J731" t="str">
        <f t="shared" ref="J731:J755" si="266">CLEAN("LOC STR")</f>
        <v>LOC STR</v>
      </c>
      <c r="K731" t="str">
        <f t="shared" si="259"/>
        <v xml:space="preserve">DANE                          </v>
      </c>
      <c r="L731" t="str">
        <f t="shared" si="245"/>
        <v xml:space="preserve">CITY OF MADISON, JOHN NOLEN DRIVE  </v>
      </c>
      <c r="M731" t="str">
        <f t="shared" si="262"/>
        <v xml:space="preserve">LAKE MONONA BRIDGE B-13-0924 SB    </v>
      </c>
      <c r="N731">
        <v>3.3000000000000002E-2</v>
      </c>
      <c r="O731" t="str">
        <f>CLEAN("5992-11-24")</f>
        <v>5992-11-24</v>
      </c>
      <c r="P731" t="str">
        <f t="shared" si="252"/>
        <v xml:space="preserve">LOCAL BRIDGES                                                                                       </v>
      </c>
    </row>
    <row r="732" spans="1:16" x14ac:dyDescent="0.25">
      <c r="A732" t="str">
        <f t="shared" si="263"/>
        <v>10</v>
      </c>
      <c r="B732" t="str">
        <f t="shared" si="231"/>
        <v>21</v>
      </c>
      <c r="C732" s="1">
        <v>45881</v>
      </c>
      <c r="D732" t="str">
        <f t="shared" si="260"/>
        <v>5992-11-25</v>
      </c>
      <c r="E732" t="str">
        <f t="shared" si="248"/>
        <v xml:space="preserve">205  </v>
      </c>
      <c r="F732" t="str">
        <f t="shared" si="261"/>
        <v xml:space="preserve">$1,000,000 - $1,999,999  </v>
      </c>
      <c r="G732" t="str">
        <f t="shared" si="264"/>
        <v>LET</v>
      </c>
      <c r="H732" t="str">
        <f t="shared" si="265"/>
        <v xml:space="preserve">LET CONSTRUCTION         </v>
      </c>
      <c r="I732" t="str">
        <f t="shared" si="257"/>
        <v xml:space="preserve">CONST/BRIDGE REPLACEMENT           </v>
      </c>
      <c r="J732" t="str">
        <f t="shared" si="266"/>
        <v>LOC STR</v>
      </c>
      <c r="K732" t="str">
        <f t="shared" si="259"/>
        <v xml:space="preserve">DANE                          </v>
      </c>
      <c r="L732" t="str">
        <f t="shared" ref="L732:L748" si="267">CLEAN("CITY OF MADISON, JOHN NOLEN DRIVE  ")</f>
        <v xml:space="preserve">CITY OF MADISON, JOHN NOLEN DRIVE  </v>
      </c>
      <c r="M732" t="str">
        <f t="shared" si="262"/>
        <v xml:space="preserve">LAKE MONONA BRIDGE B-13-0924 SB    </v>
      </c>
      <c r="N732">
        <v>3.3000000000000002E-2</v>
      </c>
      <c r="O732" t="str">
        <f>CLEAN("5992-11-26")</f>
        <v>5992-11-26</v>
      </c>
      <c r="P732" t="str">
        <f t="shared" si="252"/>
        <v xml:space="preserve">LOCAL BRIDGES                                                                                       </v>
      </c>
    </row>
    <row r="733" spans="1:16" x14ac:dyDescent="0.25">
      <c r="A733" t="str">
        <f t="shared" si="263"/>
        <v>10</v>
      </c>
      <c r="B733" t="str">
        <f t="shared" si="231"/>
        <v>21</v>
      </c>
      <c r="C733" s="1">
        <v>45881</v>
      </c>
      <c r="D733" t="str">
        <f t="shared" si="260"/>
        <v>5992-11-25</v>
      </c>
      <c r="E733" t="str">
        <f t="shared" si="248"/>
        <v xml:space="preserve">205  </v>
      </c>
      <c r="F733" t="str">
        <f t="shared" si="261"/>
        <v xml:space="preserve">$1,000,000 - $1,999,999  </v>
      </c>
      <c r="G733" t="str">
        <f t="shared" si="264"/>
        <v>LET</v>
      </c>
      <c r="H733" t="str">
        <f t="shared" si="265"/>
        <v xml:space="preserve">LET CONSTRUCTION         </v>
      </c>
      <c r="I733" t="str">
        <f t="shared" si="257"/>
        <v xml:space="preserve">CONST/BRIDGE REPLACEMENT           </v>
      </c>
      <c r="J733" t="str">
        <f t="shared" si="266"/>
        <v>LOC STR</v>
      </c>
      <c r="K733" t="str">
        <f t="shared" si="259"/>
        <v xml:space="preserve">DANE                          </v>
      </c>
      <c r="L733" t="str">
        <f t="shared" si="267"/>
        <v xml:space="preserve">CITY OF MADISON, JOHN NOLEN DRIVE  </v>
      </c>
      <c r="M733" t="str">
        <f t="shared" si="262"/>
        <v xml:space="preserve">LAKE MONONA BRIDGE B-13-0924 SB    </v>
      </c>
      <c r="N733">
        <v>3.3000000000000002E-2</v>
      </c>
      <c r="O733" t="str">
        <f>CLEAN("5992-11-27")</f>
        <v>5992-11-27</v>
      </c>
      <c r="P733" t="str">
        <f t="shared" si="252"/>
        <v xml:space="preserve">LOCAL BRIDGES                                                                                       </v>
      </c>
    </row>
    <row r="734" spans="1:16" x14ac:dyDescent="0.25">
      <c r="A734" t="str">
        <f t="shared" si="263"/>
        <v>10</v>
      </c>
      <c r="B734" t="str">
        <f t="shared" si="231"/>
        <v>21</v>
      </c>
      <c r="C734" s="1">
        <v>45881</v>
      </c>
      <c r="D734" t="str">
        <f t="shared" si="260"/>
        <v>5992-11-25</v>
      </c>
      <c r="E734" t="str">
        <f t="shared" si="248"/>
        <v xml:space="preserve">205  </v>
      </c>
      <c r="F734" t="str">
        <f t="shared" si="261"/>
        <v xml:space="preserve">$1,000,000 - $1,999,999  </v>
      </c>
      <c r="G734" t="str">
        <f t="shared" si="264"/>
        <v>LET</v>
      </c>
      <c r="H734" t="str">
        <f t="shared" si="265"/>
        <v xml:space="preserve">LET CONSTRUCTION         </v>
      </c>
      <c r="I734" t="str">
        <f t="shared" si="257"/>
        <v xml:space="preserve">CONST/BRIDGE REPLACEMENT           </v>
      </c>
      <c r="J734" t="str">
        <f t="shared" si="266"/>
        <v>LOC STR</v>
      </c>
      <c r="K734" t="str">
        <f t="shared" si="259"/>
        <v xml:space="preserve">DANE                          </v>
      </c>
      <c r="L734" t="str">
        <f t="shared" si="267"/>
        <v xml:space="preserve">CITY OF MADISON, JOHN NOLEN DRIVE  </v>
      </c>
      <c r="M734" t="str">
        <f t="shared" si="262"/>
        <v xml:space="preserve">LAKE MONONA BRIDGE B-13-0924 SB    </v>
      </c>
      <c r="N734">
        <v>3.3000000000000002E-2</v>
      </c>
      <c r="O734" t="str">
        <f>CLEAN("5992-11-28")</f>
        <v>5992-11-28</v>
      </c>
      <c r="P734" t="str">
        <f t="shared" si="252"/>
        <v xml:space="preserve">LOCAL BRIDGES                                                                                       </v>
      </c>
    </row>
    <row r="735" spans="1:16" x14ac:dyDescent="0.25">
      <c r="A735" t="str">
        <f t="shared" si="263"/>
        <v>10</v>
      </c>
      <c r="B735" t="str">
        <f t="shared" si="231"/>
        <v>21</v>
      </c>
      <c r="C735" s="1">
        <v>45881</v>
      </c>
      <c r="D735" t="str">
        <f t="shared" ref="D735:D741" si="268">CLEAN("5992-11-26")</f>
        <v>5992-11-26</v>
      </c>
      <c r="E735" t="str">
        <f t="shared" si="248"/>
        <v xml:space="preserve">205  </v>
      </c>
      <c r="F735" t="str">
        <f t="shared" ref="F735:F748" si="269">CLEAN("$2,000,000 - $2,999,999  ")</f>
        <v xml:space="preserve">$2,000,000 - $2,999,999  </v>
      </c>
      <c r="G735" t="str">
        <f t="shared" si="264"/>
        <v>LET</v>
      </c>
      <c r="H735" t="str">
        <f t="shared" si="265"/>
        <v xml:space="preserve">LET CONSTRUCTION         </v>
      </c>
      <c r="I735" t="str">
        <f t="shared" si="257"/>
        <v xml:space="preserve">CONST/BRIDGE REPLACEMENT           </v>
      </c>
      <c r="J735" t="str">
        <f t="shared" si="266"/>
        <v>LOC STR</v>
      </c>
      <c r="K735" t="str">
        <f t="shared" si="259"/>
        <v xml:space="preserve">DANE                          </v>
      </c>
      <c r="L735" t="str">
        <f t="shared" si="267"/>
        <v xml:space="preserve">CITY OF MADISON, JOHN NOLEN DRIVE  </v>
      </c>
      <c r="M735" t="str">
        <f t="shared" ref="M735:M741" si="270">CLEAN("LAKE MONONA BRIDGE B-13-0926 NB    ")</f>
        <v xml:space="preserve">LAKE MONONA BRIDGE B-13-0926 NB    </v>
      </c>
      <c r="N735">
        <v>3.6999999999999998E-2</v>
      </c>
      <c r="O735" t="str">
        <f>CLEAN("5992-11-21")</f>
        <v>5992-11-21</v>
      </c>
      <c r="P735" t="str">
        <f t="shared" si="252"/>
        <v xml:space="preserve">LOCAL BRIDGES                                                                                       </v>
      </c>
    </row>
    <row r="736" spans="1:16" x14ac:dyDescent="0.25">
      <c r="A736" t="str">
        <f t="shared" si="263"/>
        <v>10</v>
      </c>
      <c r="B736" t="str">
        <f t="shared" ref="B736:B771" si="271">CLEAN("21")</f>
        <v>21</v>
      </c>
      <c r="C736" s="1">
        <v>45881</v>
      </c>
      <c r="D736" t="str">
        <f t="shared" si="268"/>
        <v>5992-11-26</v>
      </c>
      <c r="E736" t="str">
        <f t="shared" si="248"/>
        <v xml:space="preserve">205  </v>
      </c>
      <c r="F736" t="str">
        <f t="shared" si="269"/>
        <v xml:space="preserve">$2,000,000 - $2,999,999  </v>
      </c>
      <c r="G736" t="str">
        <f t="shared" si="264"/>
        <v>LET</v>
      </c>
      <c r="H736" t="str">
        <f t="shared" si="265"/>
        <v xml:space="preserve">LET CONSTRUCTION         </v>
      </c>
      <c r="I736" t="str">
        <f t="shared" si="257"/>
        <v xml:space="preserve">CONST/BRIDGE REPLACEMENT           </v>
      </c>
      <c r="J736" t="str">
        <f t="shared" si="266"/>
        <v>LOC STR</v>
      </c>
      <c r="K736" t="str">
        <f t="shared" si="259"/>
        <v xml:space="preserve">DANE                          </v>
      </c>
      <c r="L736" t="str">
        <f t="shared" si="267"/>
        <v xml:space="preserve">CITY OF MADISON, JOHN NOLEN DRIVE  </v>
      </c>
      <c r="M736" t="str">
        <f t="shared" si="270"/>
        <v xml:space="preserve">LAKE MONONA BRIDGE B-13-0926 NB    </v>
      </c>
      <c r="N736">
        <v>3.6999999999999998E-2</v>
      </c>
      <c r="O736" t="str">
        <f>CLEAN("5992-11-22")</f>
        <v>5992-11-22</v>
      </c>
      <c r="P736" t="str">
        <f t="shared" si="252"/>
        <v xml:space="preserve">LOCAL BRIDGES                                                                                       </v>
      </c>
    </row>
    <row r="737" spans="1:16" x14ac:dyDescent="0.25">
      <c r="A737" t="str">
        <f t="shared" si="263"/>
        <v>10</v>
      </c>
      <c r="B737" t="str">
        <f t="shared" si="271"/>
        <v>21</v>
      </c>
      <c r="C737" s="1">
        <v>45881</v>
      </c>
      <c r="D737" t="str">
        <f t="shared" si="268"/>
        <v>5992-11-26</v>
      </c>
      <c r="E737" t="str">
        <f t="shared" si="248"/>
        <v xml:space="preserve">205  </v>
      </c>
      <c r="F737" t="str">
        <f t="shared" si="269"/>
        <v xml:space="preserve">$2,000,000 - $2,999,999  </v>
      </c>
      <c r="G737" t="str">
        <f t="shared" si="264"/>
        <v>LET</v>
      </c>
      <c r="H737" t="str">
        <f t="shared" si="265"/>
        <v xml:space="preserve">LET CONSTRUCTION         </v>
      </c>
      <c r="I737" t="str">
        <f t="shared" si="257"/>
        <v xml:space="preserve">CONST/BRIDGE REPLACEMENT           </v>
      </c>
      <c r="J737" t="str">
        <f t="shared" si="266"/>
        <v>LOC STR</v>
      </c>
      <c r="K737" t="str">
        <f t="shared" si="259"/>
        <v xml:space="preserve">DANE                          </v>
      </c>
      <c r="L737" t="str">
        <f t="shared" si="267"/>
        <v xml:space="preserve">CITY OF MADISON, JOHN NOLEN DRIVE  </v>
      </c>
      <c r="M737" t="str">
        <f t="shared" si="270"/>
        <v xml:space="preserve">LAKE MONONA BRIDGE B-13-0926 NB    </v>
      </c>
      <c r="N737">
        <v>3.6999999999999998E-2</v>
      </c>
      <c r="O737" t="str">
        <f>CLEAN("5992-11-23")</f>
        <v>5992-11-23</v>
      </c>
      <c r="P737" t="str">
        <f t="shared" si="252"/>
        <v xml:space="preserve">LOCAL BRIDGES                                                                                       </v>
      </c>
    </row>
    <row r="738" spans="1:16" x14ac:dyDescent="0.25">
      <c r="A738" t="str">
        <f t="shared" si="263"/>
        <v>10</v>
      </c>
      <c r="B738" t="str">
        <f t="shared" si="271"/>
        <v>21</v>
      </c>
      <c r="C738" s="1">
        <v>45881</v>
      </c>
      <c r="D738" t="str">
        <f t="shared" si="268"/>
        <v>5992-11-26</v>
      </c>
      <c r="E738" t="str">
        <f t="shared" si="248"/>
        <v xml:space="preserve">205  </v>
      </c>
      <c r="F738" t="str">
        <f t="shared" si="269"/>
        <v xml:space="preserve">$2,000,000 - $2,999,999  </v>
      </c>
      <c r="G738" t="str">
        <f t="shared" si="264"/>
        <v>LET</v>
      </c>
      <c r="H738" t="str">
        <f t="shared" si="265"/>
        <v xml:space="preserve">LET CONSTRUCTION         </v>
      </c>
      <c r="I738" t="str">
        <f t="shared" si="257"/>
        <v xml:space="preserve">CONST/BRIDGE REPLACEMENT           </v>
      </c>
      <c r="J738" t="str">
        <f t="shared" si="266"/>
        <v>LOC STR</v>
      </c>
      <c r="K738" t="str">
        <f t="shared" si="259"/>
        <v xml:space="preserve">DANE                          </v>
      </c>
      <c r="L738" t="str">
        <f t="shared" si="267"/>
        <v xml:space="preserve">CITY OF MADISON, JOHN NOLEN DRIVE  </v>
      </c>
      <c r="M738" t="str">
        <f t="shared" si="270"/>
        <v xml:space="preserve">LAKE MONONA BRIDGE B-13-0926 NB    </v>
      </c>
      <c r="N738">
        <v>3.6999999999999998E-2</v>
      </c>
      <c r="O738" t="str">
        <f>CLEAN("5992-11-24")</f>
        <v>5992-11-24</v>
      </c>
      <c r="P738" t="str">
        <f t="shared" si="252"/>
        <v xml:space="preserve">LOCAL BRIDGES                                                                                       </v>
      </c>
    </row>
    <row r="739" spans="1:16" x14ac:dyDescent="0.25">
      <c r="A739" t="str">
        <f t="shared" si="263"/>
        <v>10</v>
      </c>
      <c r="B739" t="str">
        <f t="shared" si="271"/>
        <v>21</v>
      </c>
      <c r="C739" s="1">
        <v>45881</v>
      </c>
      <c r="D739" t="str">
        <f t="shared" si="268"/>
        <v>5992-11-26</v>
      </c>
      <c r="E739" t="str">
        <f t="shared" si="248"/>
        <v xml:space="preserve">205  </v>
      </c>
      <c r="F739" t="str">
        <f t="shared" si="269"/>
        <v xml:space="preserve">$2,000,000 - $2,999,999  </v>
      </c>
      <c r="G739" t="str">
        <f t="shared" si="264"/>
        <v>LET</v>
      </c>
      <c r="H739" t="str">
        <f t="shared" si="265"/>
        <v xml:space="preserve">LET CONSTRUCTION         </v>
      </c>
      <c r="I739" t="str">
        <f t="shared" si="257"/>
        <v xml:space="preserve">CONST/BRIDGE REPLACEMENT           </v>
      </c>
      <c r="J739" t="str">
        <f t="shared" si="266"/>
        <v>LOC STR</v>
      </c>
      <c r="K739" t="str">
        <f t="shared" si="259"/>
        <v xml:space="preserve">DANE                          </v>
      </c>
      <c r="L739" t="str">
        <f t="shared" si="267"/>
        <v xml:space="preserve">CITY OF MADISON, JOHN NOLEN DRIVE  </v>
      </c>
      <c r="M739" t="str">
        <f t="shared" si="270"/>
        <v xml:space="preserve">LAKE MONONA BRIDGE B-13-0926 NB    </v>
      </c>
      <c r="N739">
        <v>3.6999999999999998E-2</v>
      </c>
      <c r="O739" t="str">
        <f>CLEAN("5992-11-25")</f>
        <v>5992-11-25</v>
      </c>
      <c r="P739" t="str">
        <f t="shared" si="252"/>
        <v xml:space="preserve">LOCAL BRIDGES                                                                                       </v>
      </c>
    </row>
    <row r="740" spans="1:16" x14ac:dyDescent="0.25">
      <c r="A740" t="str">
        <f t="shared" si="263"/>
        <v>10</v>
      </c>
      <c r="B740" t="str">
        <f t="shared" si="271"/>
        <v>21</v>
      </c>
      <c r="C740" s="1">
        <v>45881</v>
      </c>
      <c r="D740" t="str">
        <f t="shared" si="268"/>
        <v>5992-11-26</v>
      </c>
      <c r="E740" t="str">
        <f t="shared" si="248"/>
        <v xml:space="preserve">205  </v>
      </c>
      <c r="F740" t="str">
        <f t="shared" si="269"/>
        <v xml:space="preserve">$2,000,000 - $2,999,999  </v>
      </c>
      <c r="G740" t="str">
        <f t="shared" si="264"/>
        <v>LET</v>
      </c>
      <c r="H740" t="str">
        <f t="shared" si="265"/>
        <v xml:space="preserve">LET CONSTRUCTION         </v>
      </c>
      <c r="I740" t="str">
        <f t="shared" si="257"/>
        <v xml:space="preserve">CONST/BRIDGE REPLACEMENT           </v>
      </c>
      <c r="J740" t="str">
        <f t="shared" si="266"/>
        <v>LOC STR</v>
      </c>
      <c r="K740" t="str">
        <f t="shared" si="259"/>
        <v xml:space="preserve">DANE                          </v>
      </c>
      <c r="L740" t="str">
        <f t="shared" si="267"/>
        <v xml:space="preserve">CITY OF MADISON, JOHN NOLEN DRIVE  </v>
      </c>
      <c r="M740" t="str">
        <f t="shared" si="270"/>
        <v xml:space="preserve">LAKE MONONA BRIDGE B-13-0926 NB    </v>
      </c>
      <c r="N740">
        <v>3.6999999999999998E-2</v>
      </c>
      <c r="O740" t="str">
        <f>CLEAN("5992-11-27")</f>
        <v>5992-11-27</v>
      </c>
      <c r="P740" t="str">
        <f t="shared" si="252"/>
        <v xml:space="preserve">LOCAL BRIDGES                                                                                       </v>
      </c>
    </row>
    <row r="741" spans="1:16" x14ac:dyDescent="0.25">
      <c r="A741" t="str">
        <f t="shared" si="263"/>
        <v>10</v>
      </c>
      <c r="B741" t="str">
        <f t="shared" si="271"/>
        <v>21</v>
      </c>
      <c r="C741" s="1">
        <v>45881</v>
      </c>
      <c r="D741" t="str">
        <f t="shared" si="268"/>
        <v>5992-11-26</v>
      </c>
      <c r="E741" t="str">
        <f t="shared" si="248"/>
        <v xml:space="preserve">205  </v>
      </c>
      <c r="F741" t="str">
        <f t="shared" si="269"/>
        <v xml:space="preserve">$2,000,000 - $2,999,999  </v>
      </c>
      <c r="G741" t="str">
        <f t="shared" si="264"/>
        <v>LET</v>
      </c>
      <c r="H741" t="str">
        <f t="shared" si="265"/>
        <v xml:space="preserve">LET CONSTRUCTION         </v>
      </c>
      <c r="I741" t="str">
        <f t="shared" si="257"/>
        <v xml:space="preserve">CONST/BRIDGE REPLACEMENT           </v>
      </c>
      <c r="J741" t="str">
        <f t="shared" si="266"/>
        <v>LOC STR</v>
      </c>
      <c r="K741" t="str">
        <f t="shared" si="259"/>
        <v xml:space="preserve">DANE                          </v>
      </c>
      <c r="L741" t="str">
        <f t="shared" si="267"/>
        <v xml:space="preserve">CITY OF MADISON, JOHN NOLEN DRIVE  </v>
      </c>
      <c r="M741" t="str">
        <f t="shared" si="270"/>
        <v xml:space="preserve">LAKE MONONA BRIDGE B-13-0926 NB    </v>
      </c>
      <c r="N741">
        <v>3.6999999999999998E-2</v>
      </c>
      <c r="O741" t="str">
        <f>CLEAN("5992-11-28")</f>
        <v>5992-11-28</v>
      </c>
      <c r="P741" t="str">
        <f t="shared" si="252"/>
        <v xml:space="preserve">LOCAL BRIDGES                                                                                       </v>
      </c>
    </row>
    <row r="742" spans="1:16" x14ac:dyDescent="0.25">
      <c r="A742" t="str">
        <f t="shared" si="263"/>
        <v>10</v>
      </c>
      <c r="B742" t="str">
        <f t="shared" si="271"/>
        <v>21</v>
      </c>
      <c r="C742" s="1">
        <v>45881</v>
      </c>
      <c r="D742" t="str">
        <f t="shared" ref="D742:D748" si="272">CLEAN("5992-11-27")</f>
        <v>5992-11-27</v>
      </c>
      <c r="E742" t="str">
        <f t="shared" si="248"/>
        <v xml:space="preserve">205  </v>
      </c>
      <c r="F742" t="str">
        <f t="shared" si="269"/>
        <v xml:space="preserve">$2,000,000 - $2,999,999  </v>
      </c>
      <c r="G742" t="str">
        <f t="shared" si="264"/>
        <v>LET</v>
      </c>
      <c r="H742" t="str">
        <f t="shared" si="265"/>
        <v xml:space="preserve">LET CONSTRUCTION         </v>
      </c>
      <c r="I742" t="str">
        <f t="shared" si="257"/>
        <v xml:space="preserve">CONST/BRIDGE REPLACEMENT           </v>
      </c>
      <c r="J742" t="str">
        <f t="shared" si="266"/>
        <v>LOC STR</v>
      </c>
      <c r="K742" t="str">
        <f t="shared" si="259"/>
        <v xml:space="preserve">DANE                          </v>
      </c>
      <c r="L742" t="str">
        <f t="shared" si="267"/>
        <v xml:space="preserve">CITY OF MADISON, JOHN NOLEN DRIVE  </v>
      </c>
      <c r="M742" t="str">
        <f t="shared" ref="M742:M748" si="273">CLEAN("LAKE MONONA BRIDGE B-13-0926 SB    ")</f>
        <v xml:space="preserve">LAKE MONONA BRIDGE B-13-0926 SB    </v>
      </c>
      <c r="N742">
        <v>3.6999999999999998E-2</v>
      </c>
      <c r="O742" t="str">
        <f>CLEAN("5992-11-21")</f>
        <v>5992-11-21</v>
      </c>
      <c r="P742" t="str">
        <f t="shared" si="252"/>
        <v xml:space="preserve">LOCAL BRIDGES                                                                                       </v>
      </c>
    </row>
    <row r="743" spans="1:16" x14ac:dyDescent="0.25">
      <c r="A743" t="str">
        <f t="shared" si="263"/>
        <v>10</v>
      </c>
      <c r="B743" t="str">
        <f t="shared" si="271"/>
        <v>21</v>
      </c>
      <c r="C743" s="1">
        <v>45881</v>
      </c>
      <c r="D743" t="str">
        <f t="shared" si="272"/>
        <v>5992-11-27</v>
      </c>
      <c r="E743" t="str">
        <f t="shared" si="248"/>
        <v xml:space="preserve">205  </v>
      </c>
      <c r="F743" t="str">
        <f t="shared" si="269"/>
        <v xml:space="preserve">$2,000,000 - $2,999,999  </v>
      </c>
      <c r="G743" t="str">
        <f t="shared" si="264"/>
        <v>LET</v>
      </c>
      <c r="H743" t="str">
        <f t="shared" si="265"/>
        <v xml:space="preserve">LET CONSTRUCTION         </v>
      </c>
      <c r="I743" t="str">
        <f t="shared" si="257"/>
        <v xml:space="preserve">CONST/BRIDGE REPLACEMENT           </v>
      </c>
      <c r="J743" t="str">
        <f t="shared" si="266"/>
        <v>LOC STR</v>
      </c>
      <c r="K743" t="str">
        <f t="shared" si="259"/>
        <v xml:space="preserve">DANE                          </v>
      </c>
      <c r="L743" t="str">
        <f t="shared" si="267"/>
        <v xml:space="preserve">CITY OF MADISON, JOHN NOLEN DRIVE  </v>
      </c>
      <c r="M743" t="str">
        <f t="shared" si="273"/>
        <v xml:space="preserve">LAKE MONONA BRIDGE B-13-0926 SB    </v>
      </c>
      <c r="N743">
        <v>3.6999999999999998E-2</v>
      </c>
      <c r="O743" t="str">
        <f>CLEAN("5992-11-22")</f>
        <v>5992-11-22</v>
      </c>
      <c r="P743" t="str">
        <f t="shared" si="252"/>
        <v xml:space="preserve">LOCAL BRIDGES                                                                                       </v>
      </c>
    </row>
    <row r="744" spans="1:16" x14ac:dyDescent="0.25">
      <c r="A744" t="str">
        <f t="shared" si="263"/>
        <v>10</v>
      </c>
      <c r="B744" t="str">
        <f t="shared" si="271"/>
        <v>21</v>
      </c>
      <c r="C744" s="1">
        <v>45881</v>
      </c>
      <c r="D744" t="str">
        <f t="shared" si="272"/>
        <v>5992-11-27</v>
      </c>
      <c r="E744" t="str">
        <f t="shared" si="248"/>
        <v xml:space="preserve">205  </v>
      </c>
      <c r="F744" t="str">
        <f t="shared" si="269"/>
        <v xml:space="preserve">$2,000,000 - $2,999,999  </v>
      </c>
      <c r="G744" t="str">
        <f t="shared" si="264"/>
        <v>LET</v>
      </c>
      <c r="H744" t="str">
        <f t="shared" si="265"/>
        <v xml:space="preserve">LET CONSTRUCTION         </v>
      </c>
      <c r="I744" t="str">
        <f t="shared" si="257"/>
        <v xml:space="preserve">CONST/BRIDGE REPLACEMENT           </v>
      </c>
      <c r="J744" t="str">
        <f t="shared" si="266"/>
        <v>LOC STR</v>
      </c>
      <c r="K744" t="str">
        <f t="shared" si="259"/>
        <v xml:space="preserve">DANE                          </v>
      </c>
      <c r="L744" t="str">
        <f t="shared" si="267"/>
        <v xml:space="preserve">CITY OF MADISON, JOHN NOLEN DRIVE  </v>
      </c>
      <c r="M744" t="str">
        <f t="shared" si="273"/>
        <v xml:space="preserve">LAKE MONONA BRIDGE B-13-0926 SB    </v>
      </c>
      <c r="N744">
        <v>3.6999999999999998E-2</v>
      </c>
      <c r="O744" t="str">
        <f>CLEAN("5992-11-23")</f>
        <v>5992-11-23</v>
      </c>
      <c r="P744" t="str">
        <f t="shared" si="252"/>
        <v xml:space="preserve">LOCAL BRIDGES                                                                                       </v>
      </c>
    </row>
    <row r="745" spans="1:16" x14ac:dyDescent="0.25">
      <c r="A745" t="str">
        <f t="shared" si="263"/>
        <v>10</v>
      </c>
      <c r="B745" t="str">
        <f t="shared" si="271"/>
        <v>21</v>
      </c>
      <c r="C745" s="1">
        <v>45881</v>
      </c>
      <c r="D745" t="str">
        <f t="shared" si="272"/>
        <v>5992-11-27</v>
      </c>
      <c r="E745" t="str">
        <f t="shared" si="248"/>
        <v xml:space="preserve">205  </v>
      </c>
      <c r="F745" t="str">
        <f t="shared" si="269"/>
        <v xml:space="preserve">$2,000,000 - $2,999,999  </v>
      </c>
      <c r="G745" t="str">
        <f t="shared" si="264"/>
        <v>LET</v>
      </c>
      <c r="H745" t="str">
        <f t="shared" si="265"/>
        <v xml:space="preserve">LET CONSTRUCTION         </v>
      </c>
      <c r="I745" t="str">
        <f t="shared" si="257"/>
        <v xml:space="preserve">CONST/BRIDGE REPLACEMENT           </v>
      </c>
      <c r="J745" t="str">
        <f t="shared" si="266"/>
        <v>LOC STR</v>
      </c>
      <c r="K745" t="str">
        <f t="shared" si="259"/>
        <v xml:space="preserve">DANE                          </v>
      </c>
      <c r="L745" t="str">
        <f t="shared" si="267"/>
        <v xml:space="preserve">CITY OF MADISON, JOHN NOLEN DRIVE  </v>
      </c>
      <c r="M745" t="str">
        <f t="shared" si="273"/>
        <v xml:space="preserve">LAKE MONONA BRIDGE B-13-0926 SB    </v>
      </c>
      <c r="N745">
        <v>3.6999999999999998E-2</v>
      </c>
      <c r="O745" t="str">
        <f>CLEAN("5992-11-24")</f>
        <v>5992-11-24</v>
      </c>
      <c r="P745" t="str">
        <f t="shared" si="252"/>
        <v xml:space="preserve">LOCAL BRIDGES                                                                                       </v>
      </c>
    </row>
    <row r="746" spans="1:16" x14ac:dyDescent="0.25">
      <c r="A746" t="str">
        <f t="shared" si="263"/>
        <v>10</v>
      </c>
      <c r="B746" t="str">
        <f t="shared" si="271"/>
        <v>21</v>
      </c>
      <c r="C746" s="1">
        <v>45881</v>
      </c>
      <c r="D746" t="str">
        <f t="shared" si="272"/>
        <v>5992-11-27</v>
      </c>
      <c r="E746" t="str">
        <f t="shared" si="248"/>
        <v xml:space="preserve">205  </v>
      </c>
      <c r="F746" t="str">
        <f t="shared" si="269"/>
        <v xml:space="preserve">$2,000,000 - $2,999,999  </v>
      </c>
      <c r="G746" t="str">
        <f t="shared" si="264"/>
        <v>LET</v>
      </c>
      <c r="H746" t="str">
        <f t="shared" si="265"/>
        <v xml:space="preserve">LET CONSTRUCTION         </v>
      </c>
      <c r="I746" t="str">
        <f t="shared" si="257"/>
        <v xml:space="preserve">CONST/BRIDGE REPLACEMENT           </v>
      </c>
      <c r="J746" t="str">
        <f t="shared" si="266"/>
        <v>LOC STR</v>
      </c>
      <c r="K746" t="str">
        <f t="shared" si="259"/>
        <v xml:space="preserve">DANE                          </v>
      </c>
      <c r="L746" t="str">
        <f t="shared" si="267"/>
        <v xml:space="preserve">CITY OF MADISON, JOHN NOLEN DRIVE  </v>
      </c>
      <c r="M746" t="str">
        <f t="shared" si="273"/>
        <v xml:space="preserve">LAKE MONONA BRIDGE B-13-0926 SB    </v>
      </c>
      <c r="N746">
        <v>3.6999999999999998E-2</v>
      </c>
      <c r="O746" t="str">
        <f>CLEAN("5992-11-25")</f>
        <v>5992-11-25</v>
      </c>
      <c r="P746" t="str">
        <f t="shared" si="252"/>
        <v xml:space="preserve">LOCAL BRIDGES                                                                                       </v>
      </c>
    </row>
    <row r="747" spans="1:16" x14ac:dyDescent="0.25">
      <c r="A747" t="str">
        <f t="shared" si="263"/>
        <v>10</v>
      </c>
      <c r="B747" t="str">
        <f t="shared" si="271"/>
        <v>21</v>
      </c>
      <c r="C747" s="1">
        <v>45881</v>
      </c>
      <c r="D747" t="str">
        <f t="shared" si="272"/>
        <v>5992-11-27</v>
      </c>
      <c r="E747" t="str">
        <f t="shared" si="248"/>
        <v xml:space="preserve">205  </v>
      </c>
      <c r="F747" t="str">
        <f t="shared" si="269"/>
        <v xml:space="preserve">$2,000,000 - $2,999,999  </v>
      </c>
      <c r="G747" t="str">
        <f t="shared" si="264"/>
        <v>LET</v>
      </c>
      <c r="H747" t="str">
        <f t="shared" si="265"/>
        <v xml:space="preserve">LET CONSTRUCTION         </v>
      </c>
      <c r="I747" t="str">
        <f t="shared" si="257"/>
        <v xml:space="preserve">CONST/BRIDGE REPLACEMENT           </v>
      </c>
      <c r="J747" t="str">
        <f t="shared" si="266"/>
        <v>LOC STR</v>
      </c>
      <c r="K747" t="str">
        <f t="shared" si="259"/>
        <v xml:space="preserve">DANE                          </v>
      </c>
      <c r="L747" t="str">
        <f t="shared" si="267"/>
        <v xml:space="preserve">CITY OF MADISON, JOHN NOLEN DRIVE  </v>
      </c>
      <c r="M747" t="str">
        <f t="shared" si="273"/>
        <v xml:space="preserve">LAKE MONONA BRIDGE B-13-0926 SB    </v>
      </c>
      <c r="N747">
        <v>3.6999999999999998E-2</v>
      </c>
      <c r="O747" t="str">
        <f>CLEAN("5992-11-26")</f>
        <v>5992-11-26</v>
      </c>
      <c r="P747" t="str">
        <f t="shared" si="252"/>
        <v xml:space="preserve">LOCAL BRIDGES                                                                                       </v>
      </c>
    </row>
    <row r="748" spans="1:16" x14ac:dyDescent="0.25">
      <c r="A748" t="str">
        <f t="shared" si="263"/>
        <v>10</v>
      </c>
      <c r="B748" t="str">
        <f t="shared" si="271"/>
        <v>21</v>
      </c>
      <c r="C748" s="1">
        <v>45881</v>
      </c>
      <c r="D748" t="str">
        <f t="shared" si="272"/>
        <v>5992-11-27</v>
      </c>
      <c r="E748" t="str">
        <f t="shared" si="248"/>
        <v xml:space="preserve">205  </v>
      </c>
      <c r="F748" t="str">
        <f t="shared" si="269"/>
        <v xml:space="preserve">$2,000,000 - $2,999,999  </v>
      </c>
      <c r="G748" t="str">
        <f t="shared" si="264"/>
        <v>LET</v>
      </c>
      <c r="H748" t="str">
        <f t="shared" si="265"/>
        <v xml:space="preserve">LET CONSTRUCTION         </v>
      </c>
      <c r="I748" t="str">
        <f t="shared" si="257"/>
        <v xml:space="preserve">CONST/BRIDGE REPLACEMENT           </v>
      </c>
      <c r="J748" t="str">
        <f t="shared" si="266"/>
        <v>LOC STR</v>
      </c>
      <c r="K748" t="str">
        <f t="shared" si="259"/>
        <v xml:space="preserve">DANE                          </v>
      </c>
      <c r="L748" t="str">
        <f t="shared" si="267"/>
        <v xml:space="preserve">CITY OF MADISON, JOHN NOLEN DRIVE  </v>
      </c>
      <c r="M748" t="str">
        <f t="shared" si="273"/>
        <v xml:space="preserve">LAKE MONONA BRIDGE B-13-0926 SB    </v>
      </c>
      <c r="N748">
        <v>3.6999999999999998E-2</v>
      </c>
      <c r="O748" t="str">
        <f>CLEAN("5992-11-28")</f>
        <v>5992-11-28</v>
      </c>
      <c r="P748" t="str">
        <f t="shared" si="252"/>
        <v xml:space="preserve">LOCAL BRIDGES                                                                                       </v>
      </c>
    </row>
    <row r="749" spans="1:16" x14ac:dyDescent="0.25">
      <c r="A749" t="str">
        <f t="shared" si="263"/>
        <v>10</v>
      </c>
      <c r="B749" t="str">
        <f t="shared" si="271"/>
        <v>21</v>
      </c>
      <c r="C749" s="1">
        <v>45881</v>
      </c>
      <c r="D749" t="str">
        <f t="shared" ref="D749:D755" si="274">CLEAN("5992-11-28")</f>
        <v>5992-11-28</v>
      </c>
      <c r="E749" t="str">
        <f t="shared" ref="E749:E757" si="275">CLEAN("206  ")</f>
        <v xml:space="preserve">206  </v>
      </c>
      <c r="F749" t="str">
        <f t="shared" ref="F749:F755" si="276">CLEAN("$10,000,000 - $10,999,999")</f>
        <v>$10,000,000 - $10,999,999</v>
      </c>
      <c r="G749" t="str">
        <f t="shared" si="264"/>
        <v>LET</v>
      </c>
      <c r="H749" t="str">
        <f t="shared" si="265"/>
        <v xml:space="preserve">LET CONSTRUCTION         </v>
      </c>
      <c r="I749" t="str">
        <f t="shared" ref="I749:I755" si="277">CLEAN("CONST OPS/RECONSTRUCTION           ")</f>
        <v xml:space="preserve">CONST OPS/RECONSTRUCTION           </v>
      </c>
      <c r="J749" t="str">
        <f t="shared" si="266"/>
        <v>LOC STR</v>
      </c>
      <c r="K749" t="str">
        <f t="shared" si="259"/>
        <v xml:space="preserve">DANE                          </v>
      </c>
      <c r="L749" t="str">
        <f t="shared" ref="L749:L755" si="278">CLEAN("C MADISON, JOHN NOLEN DRIVE        ")</f>
        <v xml:space="preserve">C MADISON, JOHN NOLEN DRIVE        </v>
      </c>
      <c r="M749" t="str">
        <f t="shared" ref="M749:M755" si="279">CLEAN("LAKESIDE ST TO NORTH SHORE DR      ")</f>
        <v xml:space="preserve">LAKESIDE ST TO NORTH SHORE DR      </v>
      </c>
      <c r="N749">
        <v>0.94699999999999995</v>
      </c>
      <c r="O749" t="str">
        <f>CLEAN("5992-11-21")</f>
        <v>5992-11-21</v>
      </c>
      <c r="P749" t="str">
        <f t="shared" ref="P749:P756" si="280">CLEAN("STP URBAN OVER 200,000                                                                              ")</f>
        <v xml:space="preserve">STP URBAN OVER 200,000                                                                              </v>
      </c>
    </row>
    <row r="750" spans="1:16" x14ac:dyDescent="0.25">
      <c r="A750" t="str">
        <f t="shared" si="263"/>
        <v>10</v>
      </c>
      <c r="B750" t="str">
        <f t="shared" si="271"/>
        <v>21</v>
      </c>
      <c r="C750" s="1">
        <v>45881</v>
      </c>
      <c r="D750" t="str">
        <f t="shared" si="274"/>
        <v>5992-11-28</v>
      </c>
      <c r="E750" t="str">
        <f t="shared" si="275"/>
        <v xml:space="preserve">206  </v>
      </c>
      <c r="F750" t="str">
        <f t="shared" si="276"/>
        <v>$10,000,000 - $10,999,999</v>
      </c>
      <c r="G750" t="str">
        <f t="shared" si="264"/>
        <v>LET</v>
      </c>
      <c r="H750" t="str">
        <f t="shared" si="265"/>
        <v xml:space="preserve">LET CONSTRUCTION         </v>
      </c>
      <c r="I750" t="str">
        <f t="shared" si="277"/>
        <v xml:space="preserve">CONST OPS/RECONSTRUCTION           </v>
      </c>
      <c r="J750" t="str">
        <f t="shared" si="266"/>
        <v>LOC STR</v>
      </c>
      <c r="K750" t="str">
        <f t="shared" si="259"/>
        <v xml:space="preserve">DANE                          </v>
      </c>
      <c r="L750" t="str">
        <f t="shared" si="278"/>
        <v xml:space="preserve">C MADISON, JOHN NOLEN DRIVE        </v>
      </c>
      <c r="M750" t="str">
        <f t="shared" si="279"/>
        <v xml:space="preserve">LAKESIDE ST TO NORTH SHORE DR      </v>
      </c>
      <c r="N750">
        <v>0.94699999999999995</v>
      </c>
      <c r="O750" t="str">
        <f>CLEAN("5992-11-22")</f>
        <v>5992-11-22</v>
      </c>
      <c r="P750" t="str">
        <f t="shared" si="280"/>
        <v xml:space="preserve">STP URBAN OVER 200,000                                                                              </v>
      </c>
    </row>
    <row r="751" spans="1:16" x14ac:dyDescent="0.25">
      <c r="A751" t="str">
        <f t="shared" si="263"/>
        <v>10</v>
      </c>
      <c r="B751" t="str">
        <f t="shared" si="271"/>
        <v>21</v>
      </c>
      <c r="C751" s="1">
        <v>45881</v>
      </c>
      <c r="D751" t="str">
        <f t="shared" si="274"/>
        <v>5992-11-28</v>
      </c>
      <c r="E751" t="str">
        <f t="shared" si="275"/>
        <v xml:space="preserve">206  </v>
      </c>
      <c r="F751" t="str">
        <f t="shared" si="276"/>
        <v>$10,000,000 - $10,999,999</v>
      </c>
      <c r="G751" t="str">
        <f t="shared" si="264"/>
        <v>LET</v>
      </c>
      <c r="H751" t="str">
        <f t="shared" si="265"/>
        <v xml:space="preserve">LET CONSTRUCTION         </v>
      </c>
      <c r="I751" t="str">
        <f t="shared" si="277"/>
        <v xml:space="preserve">CONST OPS/RECONSTRUCTION           </v>
      </c>
      <c r="J751" t="str">
        <f t="shared" si="266"/>
        <v>LOC STR</v>
      </c>
      <c r="K751" t="str">
        <f t="shared" si="259"/>
        <v xml:space="preserve">DANE                          </v>
      </c>
      <c r="L751" t="str">
        <f t="shared" si="278"/>
        <v xml:space="preserve">C MADISON, JOHN NOLEN DRIVE        </v>
      </c>
      <c r="M751" t="str">
        <f t="shared" si="279"/>
        <v xml:space="preserve">LAKESIDE ST TO NORTH SHORE DR      </v>
      </c>
      <c r="N751">
        <v>0.94699999999999995</v>
      </c>
      <c r="O751" t="str">
        <f>CLEAN("5992-11-23")</f>
        <v>5992-11-23</v>
      </c>
      <c r="P751" t="str">
        <f t="shared" si="280"/>
        <v xml:space="preserve">STP URBAN OVER 200,000                                                                              </v>
      </c>
    </row>
    <row r="752" spans="1:16" x14ac:dyDescent="0.25">
      <c r="A752" t="str">
        <f t="shared" si="263"/>
        <v>10</v>
      </c>
      <c r="B752" t="str">
        <f t="shared" si="271"/>
        <v>21</v>
      </c>
      <c r="C752" s="1">
        <v>45881</v>
      </c>
      <c r="D752" t="str">
        <f t="shared" si="274"/>
        <v>5992-11-28</v>
      </c>
      <c r="E752" t="str">
        <f t="shared" si="275"/>
        <v xml:space="preserve">206  </v>
      </c>
      <c r="F752" t="str">
        <f t="shared" si="276"/>
        <v>$10,000,000 - $10,999,999</v>
      </c>
      <c r="G752" t="str">
        <f t="shared" si="264"/>
        <v>LET</v>
      </c>
      <c r="H752" t="str">
        <f t="shared" si="265"/>
        <v xml:space="preserve">LET CONSTRUCTION         </v>
      </c>
      <c r="I752" t="str">
        <f t="shared" si="277"/>
        <v xml:space="preserve">CONST OPS/RECONSTRUCTION           </v>
      </c>
      <c r="J752" t="str">
        <f t="shared" si="266"/>
        <v>LOC STR</v>
      </c>
      <c r="K752" t="str">
        <f t="shared" si="259"/>
        <v xml:space="preserve">DANE                          </v>
      </c>
      <c r="L752" t="str">
        <f t="shared" si="278"/>
        <v xml:space="preserve">C MADISON, JOHN NOLEN DRIVE        </v>
      </c>
      <c r="M752" t="str">
        <f t="shared" si="279"/>
        <v xml:space="preserve">LAKESIDE ST TO NORTH SHORE DR      </v>
      </c>
      <c r="N752">
        <v>0.94699999999999995</v>
      </c>
      <c r="O752" t="str">
        <f>CLEAN("5992-11-24")</f>
        <v>5992-11-24</v>
      </c>
      <c r="P752" t="str">
        <f t="shared" si="280"/>
        <v xml:space="preserve">STP URBAN OVER 200,000                                                                              </v>
      </c>
    </row>
    <row r="753" spans="1:16" x14ac:dyDescent="0.25">
      <c r="A753" t="str">
        <f t="shared" si="263"/>
        <v>10</v>
      </c>
      <c r="B753" t="str">
        <f t="shared" si="271"/>
        <v>21</v>
      </c>
      <c r="C753" s="1">
        <v>45881</v>
      </c>
      <c r="D753" t="str">
        <f t="shared" si="274"/>
        <v>5992-11-28</v>
      </c>
      <c r="E753" t="str">
        <f t="shared" si="275"/>
        <v xml:space="preserve">206  </v>
      </c>
      <c r="F753" t="str">
        <f t="shared" si="276"/>
        <v>$10,000,000 - $10,999,999</v>
      </c>
      <c r="G753" t="str">
        <f t="shared" si="264"/>
        <v>LET</v>
      </c>
      <c r="H753" t="str">
        <f t="shared" si="265"/>
        <v xml:space="preserve">LET CONSTRUCTION         </v>
      </c>
      <c r="I753" t="str">
        <f t="shared" si="277"/>
        <v xml:space="preserve">CONST OPS/RECONSTRUCTION           </v>
      </c>
      <c r="J753" t="str">
        <f t="shared" si="266"/>
        <v>LOC STR</v>
      </c>
      <c r="K753" t="str">
        <f t="shared" si="259"/>
        <v xml:space="preserve">DANE                          </v>
      </c>
      <c r="L753" t="str">
        <f t="shared" si="278"/>
        <v xml:space="preserve">C MADISON, JOHN NOLEN DRIVE        </v>
      </c>
      <c r="M753" t="str">
        <f t="shared" si="279"/>
        <v xml:space="preserve">LAKESIDE ST TO NORTH SHORE DR      </v>
      </c>
      <c r="N753">
        <v>0.94699999999999995</v>
      </c>
      <c r="O753" t="str">
        <f>CLEAN("5992-11-25")</f>
        <v>5992-11-25</v>
      </c>
      <c r="P753" t="str">
        <f t="shared" si="280"/>
        <v xml:space="preserve">STP URBAN OVER 200,000                                                                              </v>
      </c>
    </row>
    <row r="754" spans="1:16" x14ac:dyDescent="0.25">
      <c r="A754" t="str">
        <f t="shared" si="263"/>
        <v>10</v>
      </c>
      <c r="B754" t="str">
        <f t="shared" si="271"/>
        <v>21</v>
      </c>
      <c r="C754" s="1">
        <v>45881</v>
      </c>
      <c r="D754" t="str">
        <f t="shared" si="274"/>
        <v>5992-11-28</v>
      </c>
      <c r="E754" t="str">
        <f t="shared" si="275"/>
        <v xml:space="preserve">206  </v>
      </c>
      <c r="F754" t="str">
        <f t="shared" si="276"/>
        <v>$10,000,000 - $10,999,999</v>
      </c>
      <c r="G754" t="str">
        <f t="shared" si="264"/>
        <v>LET</v>
      </c>
      <c r="H754" t="str">
        <f t="shared" si="265"/>
        <v xml:space="preserve">LET CONSTRUCTION         </v>
      </c>
      <c r="I754" t="str">
        <f t="shared" si="277"/>
        <v xml:space="preserve">CONST OPS/RECONSTRUCTION           </v>
      </c>
      <c r="J754" t="str">
        <f t="shared" si="266"/>
        <v>LOC STR</v>
      </c>
      <c r="K754" t="str">
        <f t="shared" si="259"/>
        <v xml:space="preserve">DANE                          </v>
      </c>
      <c r="L754" t="str">
        <f t="shared" si="278"/>
        <v xml:space="preserve">C MADISON, JOHN NOLEN DRIVE        </v>
      </c>
      <c r="M754" t="str">
        <f t="shared" si="279"/>
        <v xml:space="preserve">LAKESIDE ST TO NORTH SHORE DR      </v>
      </c>
      <c r="N754">
        <v>0.94699999999999995</v>
      </c>
      <c r="O754" t="str">
        <f>CLEAN("5992-11-26")</f>
        <v>5992-11-26</v>
      </c>
      <c r="P754" t="str">
        <f t="shared" si="280"/>
        <v xml:space="preserve">STP URBAN OVER 200,000                                                                              </v>
      </c>
    </row>
    <row r="755" spans="1:16" x14ac:dyDescent="0.25">
      <c r="A755" t="str">
        <f t="shared" si="263"/>
        <v>10</v>
      </c>
      <c r="B755" t="str">
        <f t="shared" si="271"/>
        <v>21</v>
      </c>
      <c r="C755" s="1">
        <v>45881</v>
      </c>
      <c r="D755" t="str">
        <f t="shared" si="274"/>
        <v>5992-11-28</v>
      </c>
      <c r="E755" t="str">
        <f t="shared" si="275"/>
        <v xml:space="preserve">206  </v>
      </c>
      <c r="F755" t="str">
        <f t="shared" si="276"/>
        <v>$10,000,000 - $10,999,999</v>
      </c>
      <c r="G755" t="str">
        <f t="shared" si="264"/>
        <v>LET</v>
      </c>
      <c r="H755" t="str">
        <f t="shared" si="265"/>
        <v xml:space="preserve">LET CONSTRUCTION         </v>
      </c>
      <c r="I755" t="str">
        <f t="shared" si="277"/>
        <v xml:space="preserve">CONST OPS/RECONSTRUCTION           </v>
      </c>
      <c r="J755" t="str">
        <f t="shared" si="266"/>
        <v>LOC STR</v>
      </c>
      <c r="K755" t="str">
        <f t="shared" si="259"/>
        <v xml:space="preserve">DANE                          </v>
      </c>
      <c r="L755" t="str">
        <f t="shared" si="278"/>
        <v xml:space="preserve">C MADISON, JOHN NOLEN DRIVE        </v>
      </c>
      <c r="M755" t="str">
        <f t="shared" si="279"/>
        <v xml:space="preserve">LAKESIDE ST TO NORTH SHORE DR      </v>
      </c>
      <c r="N755">
        <v>0.94699999999999995</v>
      </c>
      <c r="O755" t="str">
        <f>CLEAN("5992-11-27")</f>
        <v>5992-11-27</v>
      </c>
      <c r="P755" t="str">
        <f t="shared" si="280"/>
        <v xml:space="preserve">STP URBAN OVER 200,000                                                                              </v>
      </c>
    </row>
    <row r="756" spans="1:16" x14ac:dyDescent="0.25">
      <c r="A756" t="str">
        <f t="shared" si="263"/>
        <v>10</v>
      </c>
      <c r="B756" t="str">
        <f t="shared" si="271"/>
        <v>21</v>
      </c>
      <c r="C756" s="1">
        <v>46154</v>
      </c>
      <c r="D756" t="str">
        <f>CLEAN("5992-11-37")</f>
        <v>5992-11-37</v>
      </c>
      <c r="E756" t="str">
        <f t="shared" si="275"/>
        <v xml:space="preserve">206  </v>
      </c>
      <c r="F756" t="str">
        <f>CLEAN("$1,000,000 - $1,999,999  ")</f>
        <v xml:space="preserve">$1,000,000 - $1,999,999  </v>
      </c>
      <c r="G756" t="str">
        <f t="shared" si="264"/>
        <v>LET</v>
      </c>
      <c r="H756" t="str">
        <f t="shared" si="265"/>
        <v xml:space="preserve">LET CONSTRUCTION         </v>
      </c>
      <c r="I756" t="str">
        <f>CLEAN("CONST OPS/PAVEMENT REPLACEMENT     ")</f>
        <v xml:space="preserve">CONST OPS/PAVEMENT REPLACEMENT     </v>
      </c>
      <c r="J756" t="str">
        <f>CLEAN("CTH MM ")</f>
        <v xml:space="preserve">CTH MM </v>
      </c>
      <c r="K756" t="str">
        <f t="shared" si="259"/>
        <v xml:space="preserve">DANE                          </v>
      </c>
      <c r="L756" t="str">
        <f>CLEAN("C MADISON, CTH MM/RIMROCK ROAD     ")</f>
        <v xml:space="preserve">C MADISON, CTH MM/RIMROCK ROAD     </v>
      </c>
      <c r="M756" t="str">
        <f>CLEAN("USH 12/18 TO CTH MC                ")</f>
        <v xml:space="preserve">USH 12/18 TO CTH MC                </v>
      </c>
      <c r="N756">
        <v>0.41</v>
      </c>
      <c r="O756" t="str">
        <f t="shared" ref="O756:O769" si="281">CLEAN("          ")</f>
        <v xml:space="preserve">          </v>
      </c>
      <c r="P756" t="str">
        <f t="shared" si="280"/>
        <v xml:space="preserve">STP URBAN OVER 200,000                                                                              </v>
      </c>
    </row>
    <row r="757" spans="1:16" x14ac:dyDescent="0.25">
      <c r="A757" t="str">
        <f t="shared" si="263"/>
        <v>10</v>
      </c>
      <c r="B757" t="str">
        <f t="shared" si="271"/>
        <v>21</v>
      </c>
      <c r="C757" s="1">
        <v>45955</v>
      </c>
      <c r="D757" t="str">
        <f>CLEAN("5992-11-39")</f>
        <v>5992-11-39</v>
      </c>
      <c r="E757" t="str">
        <f t="shared" si="275"/>
        <v xml:space="preserve">206  </v>
      </c>
      <c r="F757" t="str">
        <f>CLEAN("$750,000 - $999,999      ")</f>
        <v xml:space="preserve">$750,000 - $999,999      </v>
      </c>
      <c r="G757" t="str">
        <f>CLEAN("LLC")</f>
        <v>LLC</v>
      </c>
      <c r="H757" t="str">
        <f t="shared" ref="H757:H762" si="282">CLEAN("NONLET CONSTR/REAL ESTATE")</f>
        <v>NONLET CONSTR/REAL ESTATE</v>
      </c>
      <c r="I757" t="str">
        <f>CLEAN("CONST/CARBON RED-LED SIGNAL        ")</f>
        <v xml:space="preserve">CONST/CARBON RED-LED SIGNAL        </v>
      </c>
      <c r="J757" t="str">
        <f>CLEAN("VAR HWY")</f>
        <v>VAR HWY</v>
      </c>
      <c r="K757" t="str">
        <f t="shared" si="259"/>
        <v xml:space="preserve">DANE                          </v>
      </c>
      <c r="L757" t="str">
        <f>CLEAN("C MADISON, LED TRAFFIC SIGNAL      ")</f>
        <v xml:space="preserve">C MADISON, LED TRAFFIC SIGNAL      </v>
      </c>
      <c r="M757" t="str">
        <f>CLEAN("VARIOUS LOCATIONS - C MADISON      ")</f>
        <v xml:space="preserve">VARIOUS LOCATIONS - C MADISON      </v>
      </c>
      <c r="N757">
        <v>0</v>
      </c>
      <c r="O757" t="str">
        <f t="shared" si="281"/>
        <v xml:space="preserve">          </v>
      </c>
      <c r="P757" t="str">
        <f>CLEAN("CARBON REDUCTION OVER 200,000                                                                       ")</f>
        <v xml:space="preserve">CARBON REDUCTION OVER 200,000                                                                       </v>
      </c>
    </row>
    <row r="758" spans="1:16" x14ac:dyDescent="0.25">
      <c r="A758" t="str">
        <f t="shared" si="263"/>
        <v>10</v>
      </c>
      <c r="B758" t="str">
        <f t="shared" si="271"/>
        <v>21</v>
      </c>
      <c r="C758" s="1">
        <v>45894</v>
      </c>
      <c r="D758" t="str">
        <f>CLEAN("5992-11-41")</f>
        <v>5992-11-41</v>
      </c>
      <c r="E758" t="str">
        <f>CLEAN("290  ")</f>
        <v xml:space="preserve">290  </v>
      </c>
      <c r="F758" t="str">
        <f>CLEAN("$100,000-$249,999        ")</f>
        <v xml:space="preserve">$100,000-$249,999        </v>
      </c>
      <c r="G758" t="str">
        <f>CLEAN("MIS")</f>
        <v>MIS</v>
      </c>
      <c r="H758" t="str">
        <f t="shared" si="282"/>
        <v>NONLET CONSTR/REAL ESTATE</v>
      </c>
      <c r="I758" t="str">
        <f>CLEAN("PURCHASE BIKE TRAFFIC COUNTERS     ")</f>
        <v xml:space="preserve">PURCHASE BIKE TRAFFIC COUNTERS     </v>
      </c>
      <c r="J758" t="str">
        <f>CLEAN("NON HWY")</f>
        <v>NON HWY</v>
      </c>
      <c r="K758" t="str">
        <f t="shared" ref="K758:K763" si="283">CLEAN("DANE                          ")</f>
        <v xml:space="preserve">DANE                          </v>
      </c>
      <c r="L758" t="str">
        <f>CLEAN("C MADISON, BIKE TRAFFIC COUNTERS   ")</f>
        <v xml:space="preserve">C MADISON, BIKE TRAFFIC COUNTERS   </v>
      </c>
      <c r="M758" t="str">
        <f>CLEAN("VARIOUS LOCATIONS, C MADISON       ")</f>
        <v xml:space="preserve">VARIOUS LOCATIONS, C MADISON       </v>
      </c>
      <c r="N758">
        <v>2.3E-2</v>
      </c>
      <c r="O758" t="str">
        <f t="shared" si="281"/>
        <v xml:space="preserve">          </v>
      </c>
      <c r="P758" t="str">
        <f>CLEAN("TAP &gt; 200,000                                                                                       ")</f>
        <v xml:space="preserve">TAP &gt; 200,000                                                                                       </v>
      </c>
    </row>
    <row r="759" spans="1:16" x14ac:dyDescent="0.25">
      <c r="A759" t="str">
        <f t="shared" si="263"/>
        <v>10</v>
      </c>
      <c r="B759" t="str">
        <f t="shared" si="271"/>
        <v>21</v>
      </c>
      <c r="C759" s="1">
        <v>45894</v>
      </c>
      <c r="D759" t="str">
        <f>CLEAN("5992-11-53")</f>
        <v>5992-11-53</v>
      </c>
      <c r="E759" t="str">
        <f>CLEAN("206  ")</f>
        <v xml:space="preserve">206  </v>
      </c>
      <c r="F759" t="str">
        <f>CLEAN("$250,000 - $499,999      ")</f>
        <v xml:space="preserve">$250,000 - $499,999      </v>
      </c>
      <c r="G759" t="str">
        <f>CLEAN("R/R")</f>
        <v>R/R</v>
      </c>
      <c r="H759" t="str">
        <f t="shared" si="282"/>
        <v>NONLET CONSTR/REAL ESTATE</v>
      </c>
      <c r="I759" t="str">
        <f>CLEAN("RR OPS/CROSSING SURFACE            ")</f>
        <v xml:space="preserve">RR OPS/CROSSING SURFACE            </v>
      </c>
      <c r="J759" t="str">
        <f>CLEAN("LOC STR")</f>
        <v>LOC STR</v>
      </c>
      <c r="K759" t="str">
        <f t="shared" si="283"/>
        <v xml:space="preserve">DANE                          </v>
      </c>
      <c r="L759" t="str">
        <f>CLEAN("CITY OF MADISON,JOHN NOLEN DRIVE   ")</f>
        <v xml:space="preserve">CITY OF MADISON,JOHN NOLEN DRIVE   </v>
      </c>
      <c r="M759" t="str">
        <f>CLEAN("WSOR RR XING 177817F               ")</f>
        <v xml:space="preserve">WSOR RR XING 177817F               </v>
      </c>
      <c r="N759">
        <v>0</v>
      </c>
      <c r="O759" t="str">
        <f t="shared" si="281"/>
        <v xml:space="preserve">          </v>
      </c>
      <c r="P759" t="str">
        <f>CLEAN("STP URBAN OVER 200,000                                                                              ")</f>
        <v xml:space="preserve">STP URBAN OVER 200,000                                                                              </v>
      </c>
    </row>
    <row r="760" spans="1:16" x14ac:dyDescent="0.25">
      <c r="A760" t="str">
        <f t="shared" si="263"/>
        <v>10</v>
      </c>
      <c r="B760" t="str">
        <f t="shared" si="271"/>
        <v>21</v>
      </c>
      <c r="C760" s="1">
        <v>45894</v>
      </c>
      <c r="D760" t="str">
        <f>CLEAN("5992-11-54")</f>
        <v>5992-11-54</v>
      </c>
      <c r="E760" t="str">
        <f>CLEAN("206  ")</f>
        <v xml:space="preserve">206  </v>
      </c>
      <c r="F760" t="str">
        <f>CLEAN("$500,000 - $749,999      ")</f>
        <v xml:space="preserve">$500,000 - $749,999      </v>
      </c>
      <c r="G760" t="str">
        <f>CLEAN("R/R")</f>
        <v>R/R</v>
      </c>
      <c r="H760" t="str">
        <f t="shared" si="282"/>
        <v>NONLET CONSTR/REAL ESTATE</v>
      </c>
      <c r="I760" t="str">
        <f>CLEAN("RR OPS/CROSSING SIGNALS            ")</f>
        <v xml:space="preserve">RR OPS/CROSSING SIGNALS            </v>
      </c>
      <c r="J760" t="str">
        <f>CLEAN("LOC STR")</f>
        <v>LOC STR</v>
      </c>
      <c r="K760" t="str">
        <f t="shared" si="283"/>
        <v xml:space="preserve">DANE                          </v>
      </c>
      <c r="L760" t="str">
        <f>CLEAN("CITY OF MADISON,JOHN NOLEN DRIVE   ")</f>
        <v xml:space="preserve">CITY OF MADISON,JOHN NOLEN DRIVE   </v>
      </c>
      <c r="M760" t="str">
        <f>CLEAN("WSOR RR XING 177817F               ")</f>
        <v xml:space="preserve">WSOR RR XING 177817F               </v>
      </c>
      <c r="N760">
        <v>0</v>
      </c>
      <c r="O760" t="str">
        <f t="shared" si="281"/>
        <v xml:space="preserve">          </v>
      </c>
      <c r="P760" t="str">
        <f>CLEAN("STP URBAN OVER 200,000                                                                              ")</f>
        <v xml:space="preserve">STP URBAN OVER 200,000                                                                              </v>
      </c>
    </row>
    <row r="761" spans="1:16" x14ac:dyDescent="0.25">
      <c r="A761" t="str">
        <f t="shared" si="263"/>
        <v>10</v>
      </c>
      <c r="B761" t="str">
        <f t="shared" si="271"/>
        <v>21</v>
      </c>
      <c r="C761" s="1">
        <v>45894</v>
      </c>
      <c r="D761" t="str">
        <f>CLEAN("5992-11-59")</f>
        <v>5992-11-59</v>
      </c>
      <c r="E761" t="str">
        <f>CLEAN("206  ")</f>
        <v xml:space="preserve">206  </v>
      </c>
      <c r="F761" t="str">
        <f>CLEAN("$250,000 - $499,999      ")</f>
        <v xml:space="preserve">$250,000 - $499,999      </v>
      </c>
      <c r="G761" t="str">
        <f>CLEAN("R/R")</f>
        <v>R/R</v>
      </c>
      <c r="H761" t="str">
        <f t="shared" si="282"/>
        <v>NONLET CONSTR/REAL ESTATE</v>
      </c>
      <c r="I761" t="str">
        <f>CLEAN("RR OPS/CROSSING SURFACE            ")</f>
        <v xml:space="preserve">RR OPS/CROSSING SURFACE            </v>
      </c>
      <c r="J761" t="str">
        <f>CLEAN("LOC STR")</f>
        <v>LOC STR</v>
      </c>
      <c r="K761" t="str">
        <f t="shared" si="283"/>
        <v xml:space="preserve">DANE                          </v>
      </c>
      <c r="L761" t="str">
        <f>CLEAN("CITY OF MADISON,JOHN NOLEN DRIVE   ")</f>
        <v xml:space="preserve">CITY OF MADISON,JOHN NOLEN DRIVE   </v>
      </c>
      <c r="M761" t="str">
        <f>CLEAN("WSOR RR XING 177818M               ")</f>
        <v xml:space="preserve">WSOR RR XING 177818M               </v>
      </c>
      <c r="N761">
        <v>0</v>
      </c>
      <c r="O761" t="str">
        <f t="shared" si="281"/>
        <v xml:space="preserve">          </v>
      </c>
      <c r="P761" t="str">
        <f>CLEAN("STP URBAN OVER 200,000                                                                              ")</f>
        <v xml:space="preserve">STP URBAN OVER 200,000                                                                              </v>
      </c>
    </row>
    <row r="762" spans="1:16" x14ac:dyDescent="0.25">
      <c r="A762" t="str">
        <f t="shared" si="263"/>
        <v>10</v>
      </c>
      <c r="B762" t="str">
        <f t="shared" si="271"/>
        <v>21</v>
      </c>
      <c r="C762" s="1">
        <v>45894</v>
      </c>
      <c r="D762" t="str">
        <f>CLEAN("5992-11-60")</f>
        <v>5992-11-60</v>
      </c>
      <c r="E762" t="str">
        <f>CLEAN("206  ")</f>
        <v xml:space="preserve">206  </v>
      </c>
      <c r="F762" t="str">
        <f>CLEAN("$750,000 - $999,999      ")</f>
        <v xml:space="preserve">$750,000 - $999,999      </v>
      </c>
      <c r="G762" t="str">
        <f>CLEAN("R/R")</f>
        <v>R/R</v>
      </c>
      <c r="H762" t="str">
        <f t="shared" si="282"/>
        <v>NONLET CONSTR/REAL ESTATE</v>
      </c>
      <c r="I762" t="str">
        <f>CLEAN("RR OPS/CROSSING SIGNALS            ")</f>
        <v xml:space="preserve">RR OPS/CROSSING SIGNALS            </v>
      </c>
      <c r="J762" t="str">
        <f>CLEAN("LOC STR")</f>
        <v>LOC STR</v>
      </c>
      <c r="K762" t="str">
        <f t="shared" si="283"/>
        <v xml:space="preserve">DANE                          </v>
      </c>
      <c r="L762" t="str">
        <f>CLEAN("CITY OF MADISON,JOHN NOLEN DRIVE   ")</f>
        <v xml:space="preserve">CITY OF MADISON,JOHN NOLEN DRIVE   </v>
      </c>
      <c r="M762" t="str">
        <f>CLEAN("WSOR RR XING 177818M               ")</f>
        <v xml:space="preserve">WSOR RR XING 177818M               </v>
      </c>
      <c r="N762">
        <v>0</v>
      </c>
      <c r="O762" t="str">
        <f t="shared" si="281"/>
        <v xml:space="preserve">          </v>
      </c>
      <c r="P762" t="str">
        <f>CLEAN("STP URBAN OVER 200,000                                                                              ")</f>
        <v xml:space="preserve">STP URBAN OVER 200,000                                                                              </v>
      </c>
    </row>
    <row r="763" spans="1:16" x14ac:dyDescent="0.25">
      <c r="A763" t="str">
        <f t="shared" si="263"/>
        <v>10</v>
      </c>
      <c r="B763" t="str">
        <f t="shared" si="271"/>
        <v>21</v>
      </c>
      <c r="C763" s="1">
        <v>46154</v>
      </c>
      <c r="D763" t="str">
        <f>CLEAN("5992-11-62")</f>
        <v>5992-11-62</v>
      </c>
      <c r="E763" t="str">
        <f>CLEAN("206  ")</f>
        <v xml:space="preserve">206  </v>
      </c>
      <c r="F763" t="str">
        <f>CLEAN("$1,000,000 - $1,999,999  ")</f>
        <v xml:space="preserve">$1,000,000 - $1,999,999  </v>
      </c>
      <c r="G763" t="str">
        <f>CLEAN("LET")</f>
        <v>LET</v>
      </c>
      <c r="H763" t="str">
        <f>CLEAN("LET CONSTRUCTION         ")</f>
        <v xml:space="preserve">LET CONSTRUCTION         </v>
      </c>
      <c r="I763" t="str">
        <f>CLEAN("CONST OPS/PAVEMENT REPLACEMENT     ")</f>
        <v xml:space="preserve">CONST OPS/PAVEMENT REPLACEMENT     </v>
      </c>
      <c r="J763" t="str">
        <f>CLEAN("CTH MM ")</f>
        <v xml:space="preserve">CTH MM </v>
      </c>
      <c r="K763" t="str">
        <f t="shared" si="283"/>
        <v xml:space="preserve">DANE                          </v>
      </c>
      <c r="L763" t="str">
        <f>CLEAN("C FITCHBURG, CTH MM/RIMROCK ROAD   ")</f>
        <v xml:space="preserve">C FITCHBURG, CTH MM/RIMROCK ROAD   </v>
      </c>
      <c r="M763" t="str">
        <f>CLEAN("MCCOY ROAD TO USH 12/18            ")</f>
        <v xml:space="preserve">MCCOY ROAD TO USH 12/18            </v>
      </c>
      <c r="N763">
        <v>1.157</v>
      </c>
      <c r="O763" t="str">
        <f t="shared" si="281"/>
        <v xml:space="preserve">          </v>
      </c>
      <c r="P763" t="str">
        <f>CLEAN("STP URBAN OVER 200,000                                                                              ")</f>
        <v xml:space="preserve">STP URBAN OVER 200,000                                                                              </v>
      </c>
    </row>
    <row r="764" spans="1:16" x14ac:dyDescent="0.25">
      <c r="A764" t="str">
        <f t="shared" si="263"/>
        <v>10</v>
      </c>
      <c r="B764" t="str">
        <f t="shared" si="271"/>
        <v>21</v>
      </c>
      <c r="C764" s="1">
        <v>45925</v>
      </c>
      <c r="D764" t="str">
        <f>CLEAN("5996-00-78")</f>
        <v>5996-00-78</v>
      </c>
      <c r="E764" t="str">
        <f>CLEAN("290  ")</f>
        <v xml:space="preserve">290  </v>
      </c>
      <c r="F764" t="str">
        <f>CLEAN("$250,000 - $499,999      ")</f>
        <v xml:space="preserve">$250,000 - $499,999      </v>
      </c>
      <c r="G764" t="str">
        <f>CLEAN("LLC")</f>
        <v>LLC</v>
      </c>
      <c r="H764" t="str">
        <f>CLEAN("NONLET CONSTR/REAL ESTATE")</f>
        <v>NONLET CONSTR/REAL ESTATE</v>
      </c>
      <c r="I764" t="str">
        <f>CLEAN("PEDESTRIAN TRAIL                   ")</f>
        <v xml:space="preserve">PEDESTRIAN TRAIL                   </v>
      </c>
      <c r="J764" t="str">
        <f>CLEAN("NON HWY")</f>
        <v>NON HWY</v>
      </c>
      <c r="K764" t="str">
        <f>CLEAN("GRANT                         ")</f>
        <v xml:space="preserve">GRANT                         </v>
      </c>
      <c r="L764" t="str">
        <f>CLEAN("C PLATTEVILLE, MOUNDVIEW TRAIL     ")</f>
        <v xml:space="preserve">C PLATTEVILLE, MOUNDVIEW TRAIL     </v>
      </c>
      <c r="M764" t="str">
        <f>CLEAN("ROUNTREE BR TR TO MITCHEL HOLLOW RD")</f>
        <v>ROUNTREE BR TR TO MITCHEL HOLLOW RD</v>
      </c>
      <c r="N764">
        <v>9.2999999999999999E-2</v>
      </c>
      <c r="O764" t="str">
        <f t="shared" si="281"/>
        <v xml:space="preserve">          </v>
      </c>
      <c r="P764" t="str">
        <f>CLEAN("TAP 5,000 - 50,000                                                                                  ")</f>
        <v xml:space="preserve">TAP 5,000 - 50,000                                                                                  </v>
      </c>
    </row>
    <row r="765" spans="1:16" x14ac:dyDescent="0.25">
      <c r="A765" t="str">
        <f t="shared" si="263"/>
        <v>10</v>
      </c>
      <c r="B765" t="str">
        <f t="shared" si="271"/>
        <v>21</v>
      </c>
      <c r="C765" s="1">
        <v>45955</v>
      </c>
      <c r="D765" t="str">
        <f>CLEAN("6060-02-21")</f>
        <v>6060-02-21</v>
      </c>
      <c r="E765" t="str">
        <f t="shared" ref="E765:E774" si="284">CLEAN("303  ")</f>
        <v xml:space="preserve">303  </v>
      </c>
      <c r="F765" t="str">
        <f>CLEAN("$0 - $99,999             ")</f>
        <v xml:space="preserve">$0 - $99,999             </v>
      </c>
      <c r="G765" t="str">
        <f>CLEAN("R/E")</f>
        <v>R/E</v>
      </c>
      <c r="H765" t="str">
        <f>CLEAN("NONLET CONSTR/REAL ESTATE")</f>
        <v>NONLET CONSTR/REAL ESTATE</v>
      </c>
      <c r="I765" t="str">
        <f>CLEAN("DESIGN-RIGHT OF WAY-PVRPLA         ")</f>
        <v xml:space="preserve">DESIGN-RIGHT OF WAY-PVRPLA         </v>
      </c>
      <c r="J765" t="str">
        <f>CLEAN("STH 073")</f>
        <v>STH 073</v>
      </c>
      <c r="K765" t="str">
        <f>CLEAN("DODGE                         ")</f>
        <v xml:space="preserve">DODGE                         </v>
      </c>
      <c r="L765" t="str">
        <f>CLEAN("COLUMBUS - PRINCETON               ")</f>
        <v xml:space="preserve">COLUMBUS - PRINCETON               </v>
      </c>
      <c r="M765" t="str">
        <f>CLEAN("MIDDLETON ST TO COMMERCE COURT     ")</f>
        <v xml:space="preserve">MIDDLETON ST TO COMMERCE COURT     </v>
      </c>
      <c r="N765">
        <v>13.616</v>
      </c>
      <c r="O765" t="str">
        <f t="shared" si="281"/>
        <v xml:space="preserve">          </v>
      </c>
      <c r="P765" t="str">
        <f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766" spans="1:16" x14ac:dyDescent="0.25">
      <c r="A766" t="str">
        <f t="shared" si="263"/>
        <v>10</v>
      </c>
      <c r="B766" t="str">
        <f t="shared" si="271"/>
        <v>21</v>
      </c>
      <c r="C766" s="1">
        <v>45955</v>
      </c>
      <c r="D766" t="str">
        <f>CLEAN("6070-01-22")</f>
        <v>6070-01-22</v>
      </c>
      <c r="E766" t="str">
        <f t="shared" si="284"/>
        <v xml:space="preserve">303  </v>
      </c>
      <c r="F766" t="str">
        <f>CLEAN("$0 - $99,999             ")</f>
        <v xml:space="preserve">$0 - $99,999             </v>
      </c>
      <c r="G766" t="str">
        <f>CLEAN("R/E")</f>
        <v>R/E</v>
      </c>
      <c r="H766" t="str">
        <f>CLEAN("NONLET CONSTR/REAL ESTATE")</f>
        <v>NONLET CONSTR/REAL ESTATE</v>
      </c>
      <c r="I766" t="str">
        <f>CLEAN("DESIGN-RIGHT OF WAY-PVRPLA         ")</f>
        <v xml:space="preserve">DESIGN-RIGHT OF WAY-PVRPLA         </v>
      </c>
      <c r="J766" t="str">
        <f>CLEAN("STH 033")</f>
        <v>STH 033</v>
      </c>
      <c r="K766" t="str">
        <f>CLEAN("DODGE                         ")</f>
        <v xml:space="preserve">DODGE                         </v>
      </c>
      <c r="L766" t="str">
        <f>CLEAN("FOX LAKE - BEAVER DAM              ")</f>
        <v xml:space="preserve">FOX LAKE - BEAVER DAM              </v>
      </c>
      <c r="M766" t="str">
        <f>CLEAN("0.1MI W OF FOREST STREET TO STH 68 ")</f>
        <v xml:space="preserve">0.1MI W OF FOREST STREET TO STH 68 </v>
      </c>
      <c r="N766">
        <v>0.56499999999999995</v>
      </c>
      <c r="O766" t="str">
        <f t="shared" si="281"/>
        <v xml:space="preserve">          </v>
      </c>
      <c r="P766" t="str">
        <f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767" spans="1:16" x14ac:dyDescent="0.25">
      <c r="A767" t="str">
        <f t="shared" si="263"/>
        <v>10</v>
      </c>
      <c r="B767" t="str">
        <f t="shared" si="271"/>
        <v>21</v>
      </c>
      <c r="C767" s="1">
        <v>46035</v>
      </c>
      <c r="D767" t="str">
        <f>CLEAN("6070-01-63")</f>
        <v>6070-01-63</v>
      </c>
      <c r="E767" t="str">
        <f t="shared" si="284"/>
        <v xml:space="preserve">303  </v>
      </c>
      <c r="F767" t="str">
        <f>CLEAN("$3,000,000 - $3,999,999  ")</f>
        <v xml:space="preserve">$3,000,000 - $3,999,999  </v>
      </c>
      <c r="G767" t="str">
        <f>CLEAN("LET")</f>
        <v>LET</v>
      </c>
      <c r="H767" t="str">
        <f>CLEAN("LET CONSTRUCTION         ")</f>
        <v xml:space="preserve">LET CONSTRUCTION         </v>
      </c>
      <c r="I767" t="str">
        <f>CLEAN("CONST/ MILL AND OVERLAY            ")</f>
        <v xml:space="preserve">CONST/ MILL AND OVERLAY            </v>
      </c>
      <c r="J767" t="str">
        <f>CLEAN("STH 033")</f>
        <v>STH 033</v>
      </c>
      <c r="K767" t="str">
        <f>CLEAN("DODGE                         ")</f>
        <v xml:space="preserve">DODGE                         </v>
      </c>
      <c r="L767" t="str">
        <f>CLEAN("PORTAGE - FOX LAKE                 ")</f>
        <v xml:space="preserve">PORTAGE - FOX LAKE                 </v>
      </c>
      <c r="M767" t="str">
        <f>CLEAN("STH 73 TO FOREST STREET            ")</f>
        <v xml:space="preserve">STH 73 TO FOREST STREET            </v>
      </c>
      <c r="N767">
        <v>4.6399999999999997</v>
      </c>
      <c r="O767" t="str">
        <f t="shared" si="281"/>
        <v xml:space="preserve">          </v>
      </c>
      <c r="P767" t="str">
        <f>CLEAN("SAFETY (REGULAR HSIP)                                                                               ")</f>
        <v xml:space="preserve">SAFETY (REGULAR HSIP)                                                                               </v>
      </c>
    </row>
    <row r="768" spans="1:16" x14ac:dyDescent="0.25">
      <c r="A768" t="str">
        <f t="shared" si="263"/>
        <v>10</v>
      </c>
      <c r="B768" t="str">
        <f t="shared" si="271"/>
        <v>21</v>
      </c>
      <c r="C768" s="1">
        <v>46035</v>
      </c>
      <c r="D768" t="str">
        <f>CLEAN("6070-01-63")</f>
        <v>6070-01-63</v>
      </c>
      <c r="E768" t="str">
        <f t="shared" si="284"/>
        <v xml:space="preserve">303  </v>
      </c>
      <c r="F768" t="str">
        <f>CLEAN("$3,000,000 - $3,999,999  ")</f>
        <v xml:space="preserve">$3,000,000 - $3,999,999  </v>
      </c>
      <c r="G768" t="str">
        <f>CLEAN("LET")</f>
        <v>LET</v>
      </c>
      <c r="H768" t="str">
        <f>CLEAN("LET CONSTRUCTION         ")</f>
        <v xml:space="preserve">LET CONSTRUCTION         </v>
      </c>
      <c r="I768" t="str">
        <f>CLEAN("CONST/ MILL AND OVERLAY            ")</f>
        <v xml:space="preserve">CONST/ MILL AND OVERLAY            </v>
      </c>
      <c r="J768" t="str">
        <f>CLEAN("STH 033")</f>
        <v>STH 033</v>
      </c>
      <c r="K768" t="str">
        <f>CLEAN("DODGE                         ")</f>
        <v xml:space="preserve">DODGE                         </v>
      </c>
      <c r="L768" t="str">
        <f>CLEAN("PORTAGE - FOX LAKE                 ")</f>
        <v xml:space="preserve">PORTAGE - FOX LAKE                 </v>
      </c>
      <c r="M768" t="str">
        <f>CLEAN("STH 73 TO FOREST STREET            ")</f>
        <v xml:space="preserve">STH 73 TO FOREST STREET            </v>
      </c>
      <c r="N768">
        <v>4.6399999999999997</v>
      </c>
      <c r="O768" t="str">
        <f t="shared" si="281"/>
        <v xml:space="preserve">          </v>
      </c>
      <c r="P768" t="str">
        <f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769" spans="1:16" x14ac:dyDescent="0.25">
      <c r="A769" t="str">
        <f t="shared" si="263"/>
        <v>10</v>
      </c>
      <c r="B769" t="str">
        <f t="shared" si="271"/>
        <v>21</v>
      </c>
      <c r="C769" s="1">
        <v>45955</v>
      </c>
      <c r="D769" t="str">
        <f>CLEAN("6070-02-22")</f>
        <v>6070-02-22</v>
      </c>
      <c r="E769" t="str">
        <f t="shared" si="284"/>
        <v xml:space="preserve">303  </v>
      </c>
      <c r="F769" t="str">
        <f>CLEAN("$0 - $99,999             ")</f>
        <v xml:space="preserve">$0 - $99,999             </v>
      </c>
      <c r="G769" t="str">
        <f>CLEAN("R/E")</f>
        <v>R/E</v>
      </c>
      <c r="H769" t="str">
        <f>CLEAN("NONLET CONSTR/REAL ESTATE")</f>
        <v>NONLET CONSTR/REAL ESTATE</v>
      </c>
      <c r="I769" t="str">
        <f>CLEAN("DESIGN-RIGHT OF WAY-PVRPLA         ")</f>
        <v xml:space="preserve">DESIGN-RIGHT OF WAY-PVRPLA         </v>
      </c>
      <c r="J769" t="str">
        <f>CLEAN("STH 068")</f>
        <v>STH 068</v>
      </c>
      <c r="K769" t="str">
        <f>CLEAN("DODGE                         ")</f>
        <v xml:space="preserve">DODGE                         </v>
      </c>
      <c r="L769" t="str">
        <f>CLEAN("FOX LAKE - WAUPUN                  ")</f>
        <v xml:space="preserve">FOX LAKE - WAUPUN                  </v>
      </c>
      <c r="M769" t="str">
        <f>CLEAN("STH 33 TO EDGELAWN DRIVE           ")</f>
        <v xml:space="preserve">STH 33 TO EDGELAWN DRIVE           </v>
      </c>
      <c r="N769">
        <v>0.18</v>
      </c>
      <c r="O769" t="str">
        <f t="shared" si="281"/>
        <v xml:space="preserve">          </v>
      </c>
      <c r="P769" t="str">
        <f>CLEAN("SHR BRIDGES                                                                                         ")</f>
        <v xml:space="preserve">SHR BRIDGES                                                                                         </v>
      </c>
    </row>
    <row r="770" spans="1:16" x14ac:dyDescent="0.25">
      <c r="A770" t="str">
        <f t="shared" si="263"/>
        <v>10</v>
      </c>
      <c r="B770" t="str">
        <f t="shared" si="271"/>
        <v>21</v>
      </c>
      <c r="C770" s="1">
        <v>46091</v>
      </c>
      <c r="D770" t="str">
        <f>CLEAN("6085-02-76")</f>
        <v>6085-02-76</v>
      </c>
      <c r="E770" t="str">
        <f t="shared" si="284"/>
        <v xml:space="preserve">303  </v>
      </c>
      <c r="F770" t="str">
        <f>CLEAN("$2,000,000 - $2,999,999  ")</f>
        <v xml:space="preserve">$2,000,000 - $2,999,999  </v>
      </c>
      <c r="G770" t="str">
        <f>CLEAN("LET")</f>
        <v>LET</v>
      </c>
      <c r="H770" t="str">
        <f>CLEAN("LET CONSTRUCTION         ")</f>
        <v xml:space="preserve">LET CONSTRUCTION         </v>
      </c>
      <c r="I770" t="str">
        <f>CLEAN("CONST/RAB/RECST                    ")</f>
        <v xml:space="preserve">CONST/RAB/RECST                    </v>
      </c>
      <c r="J770" t="str">
        <f>CLEAN("STH 019")</f>
        <v>STH 019</v>
      </c>
      <c r="K770" t="str">
        <f>CLEAN("DANE                          ")</f>
        <v xml:space="preserve">DANE                          </v>
      </c>
      <c r="L770" t="str">
        <f>CLEAN("MAZOMANIE - SUN PRAIRIE            ")</f>
        <v xml:space="preserve">MAZOMANIE - SUN PRAIRIE            </v>
      </c>
      <c r="M770" t="str">
        <f>CLEAN("WESTMOUNT DRIVE INTERSECTION       ")</f>
        <v xml:space="preserve">WESTMOUNT DRIVE INTERSECTION       </v>
      </c>
      <c r="N770">
        <v>0.46700000000000003</v>
      </c>
      <c r="O770" t="str">
        <f>CLEAN("6085-02-78")</f>
        <v>6085-02-78</v>
      </c>
      <c r="P770" t="str">
        <f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771" spans="1:16" x14ac:dyDescent="0.25">
      <c r="A771" t="str">
        <f t="shared" si="263"/>
        <v>10</v>
      </c>
      <c r="B771" t="str">
        <f t="shared" si="271"/>
        <v>21</v>
      </c>
      <c r="C771" s="1">
        <v>46091</v>
      </c>
      <c r="D771" t="str">
        <f>CLEAN("6085-02-78")</f>
        <v>6085-02-78</v>
      </c>
      <c r="E771" t="str">
        <f t="shared" si="284"/>
        <v xml:space="preserve">303  </v>
      </c>
      <c r="F771" t="str">
        <f>CLEAN("$0 - $99,999             ")</f>
        <v xml:space="preserve">$0 - $99,999             </v>
      </c>
      <c r="G771" t="str">
        <f>CLEAN("LET")</f>
        <v>LET</v>
      </c>
      <c r="H771" t="str">
        <f>CLEAN("LET CONSTRUCTION         ")</f>
        <v xml:space="preserve">LET CONSTRUCTION         </v>
      </c>
      <c r="I771" t="str">
        <f>CLEAN("CONST/ WATER MAIN/ RECST           ")</f>
        <v xml:space="preserve">CONST/ WATER MAIN/ RECST           </v>
      </c>
      <c r="J771" t="str">
        <f>CLEAN("STH 019")</f>
        <v>STH 019</v>
      </c>
      <c r="K771" t="str">
        <f>CLEAN("DANE                          ")</f>
        <v xml:space="preserve">DANE                          </v>
      </c>
      <c r="L771" t="str">
        <f>CLEAN("MAZOMANIE - SUN PRAIRIE            ")</f>
        <v xml:space="preserve">MAZOMANIE - SUN PRAIRIE            </v>
      </c>
      <c r="M771" t="str">
        <f>CLEAN("WESTMOUNT DRIVE INTERSECTION       ")</f>
        <v xml:space="preserve">WESTMOUNT DRIVE INTERSECTION       </v>
      </c>
      <c r="N771">
        <v>0.47099999999999997</v>
      </c>
      <c r="O771" t="str">
        <f>CLEAN("6085-02-76")</f>
        <v>6085-02-76</v>
      </c>
      <c r="P771" t="str">
        <f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772" spans="1:16" x14ac:dyDescent="0.25">
      <c r="A772" t="str">
        <f t="shared" si="263"/>
        <v>10</v>
      </c>
      <c r="B772" t="str">
        <f>CLEAN("23")</f>
        <v>23</v>
      </c>
      <c r="C772" s="1">
        <v>46198</v>
      </c>
      <c r="D772" t="str">
        <f>CLEAN("6090-14-50")</f>
        <v>6090-14-50</v>
      </c>
      <c r="E772" t="str">
        <f t="shared" si="284"/>
        <v xml:space="preserve">303  </v>
      </c>
      <c r="F772" t="str">
        <f>CLEAN("$250,000 - $499,999      ")</f>
        <v xml:space="preserve">$250,000 - $499,999      </v>
      </c>
      <c r="G772" t="str">
        <f>CLEAN("R/R")</f>
        <v>R/R</v>
      </c>
      <c r="H772" t="str">
        <f>CLEAN("NONLET CONSTR/REAL ESTATE")</f>
        <v>NONLET CONSTR/REAL ESTATE</v>
      </c>
      <c r="I772" t="str">
        <f>CLEAN("RR CROSSING SIGNALS                ")</f>
        <v xml:space="preserve">RR CROSSING SIGNALS                </v>
      </c>
      <c r="J772" t="str">
        <f>CLEAN("STH 049")</f>
        <v>STH 049</v>
      </c>
      <c r="K772" t="str">
        <f>CLEAN("FOND DU LAC                   ")</f>
        <v xml:space="preserve">FOND DU LAC                   </v>
      </c>
      <c r="L772" t="str">
        <f>CLEAN("BRANDON-RIPON                      ")</f>
        <v xml:space="preserve">BRANDON-RIPON                      </v>
      </c>
      <c r="M772" t="str">
        <f>CLEAN("WSOR XING SIGNALS 387487G          ")</f>
        <v xml:space="preserve">WSOR XING SIGNALS 387487G          </v>
      </c>
      <c r="N772">
        <v>0.05</v>
      </c>
      <c r="O772" t="str">
        <f>CLEAN("          ")</f>
        <v xml:space="preserve">          </v>
      </c>
      <c r="P772" t="str">
        <f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773" spans="1:16" x14ac:dyDescent="0.25">
      <c r="A773" t="str">
        <f t="shared" si="263"/>
        <v>10</v>
      </c>
      <c r="B773" t="str">
        <f>CLEAN("24")</f>
        <v>24</v>
      </c>
      <c r="C773" s="1">
        <v>46106</v>
      </c>
      <c r="D773" t="str">
        <f>CLEAN("6100-00-21")</f>
        <v>6100-00-21</v>
      </c>
      <c r="E773" t="str">
        <f t="shared" si="284"/>
        <v xml:space="preserve">303  </v>
      </c>
      <c r="F773" t="str">
        <f>CLEAN("$0 - $99,999             ")</f>
        <v xml:space="preserve">$0 - $99,999             </v>
      </c>
      <c r="G773" t="str">
        <f>CLEAN("R/E")</f>
        <v>R/E</v>
      </c>
      <c r="H773" t="str">
        <f>CLEAN("NONLET CONSTR/REAL ESTATE")</f>
        <v>NONLET CONSTR/REAL ESTATE</v>
      </c>
      <c r="I773" t="str">
        <f>CLEAN("REAL ESTATE/RESURFACE              ")</f>
        <v xml:space="preserve">REAL ESTATE/RESURFACE              </v>
      </c>
      <c r="J773" t="str">
        <f>CLEAN("STH 044")</f>
        <v>STH 044</v>
      </c>
      <c r="K773" t="str">
        <f>CLEAN("GREEN LAKE                    ")</f>
        <v xml:space="preserve">GREEN LAKE                    </v>
      </c>
      <c r="L773" t="str">
        <f>CLEAN("MANCHESTER - RIPON                 ")</f>
        <v xml:space="preserve">MANCHESTER - RIPON                 </v>
      </c>
      <c r="M773" t="str">
        <f>CLEAN("STH 73 NORTH TO GRAND RIVER BRIDGE ")</f>
        <v xml:space="preserve">STH 73 NORTH TO GRAND RIVER BRIDGE </v>
      </c>
      <c r="N773">
        <v>3.734</v>
      </c>
      <c r="O773" t="str">
        <f>CLEAN("          ")</f>
        <v xml:space="preserve">          </v>
      </c>
      <c r="P773" t="str">
        <f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774" spans="1:16" x14ac:dyDescent="0.25">
      <c r="A774" t="str">
        <f t="shared" si="263"/>
        <v>10</v>
      </c>
      <c r="B774" t="str">
        <f>CLEAN("23")</f>
        <v>23</v>
      </c>
      <c r="C774" s="1">
        <v>46154</v>
      </c>
      <c r="D774" t="str">
        <f>CLEAN("6110-26-70")</f>
        <v>6110-26-70</v>
      </c>
      <c r="E774" t="str">
        <f t="shared" si="284"/>
        <v xml:space="preserve">303  </v>
      </c>
      <c r="F774" t="str">
        <f>CLEAN("$1,000,000 - $1,999,999  ")</f>
        <v xml:space="preserve">$1,000,000 - $1,999,999  </v>
      </c>
      <c r="G774" t="str">
        <f t="shared" ref="G774:G781" si="285">CLEAN("LET")</f>
        <v>LET</v>
      </c>
      <c r="H774" t="str">
        <f t="shared" ref="H774:H781" si="286">CLEAN("LET CONSTRUCTION         ")</f>
        <v xml:space="preserve">LET CONSTRUCTION         </v>
      </c>
      <c r="I774" t="str">
        <f>CLEAN("CONST OPS/BRRHB B700247            ")</f>
        <v xml:space="preserve">CONST OPS/BRRHB B700247            </v>
      </c>
      <c r="J774" t="str">
        <f>CLEAN("STH 044")</f>
        <v>STH 044</v>
      </c>
      <c r="K774" t="str">
        <f>CLEAN("WINNEBAGO                     ")</f>
        <v xml:space="preserve">WINNEBAGO                     </v>
      </c>
      <c r="L774" t="str">
        <f>CLEAN("WISCONSIN ST, C OSHKOSH            ")</f>
        <v xml:space="preserve">WISCONSIN ST, C OSHKOSH            </v>
      </c>
      <c r="M774" t="str">
        <f>CLEAN("FOX RIVER BRIDGE B-70-0247         ")</f>
        <v xml:space="preserve">FOX RIVER BRIDGE B-70-0247         </v>
      </c>
      <c r="N774">
        <v>0</v>
      </c>
      <c r="O774" t="str">
        <f>CLEAN("          ")</f>
        <v xml:space="preserve">          </v>
      </c>
      <c r="P774" t="str">
        <f>CLEAN("SHR BRIDGES                                                                                         ")</f>
        <v xml:space="preserve">SHR BRIDGES                                                                                         </v>
      </c>
    </row>
    <row r="775" spans="1:16" x14ac:dyDescent="0.25">
      <c r="A775" t="str">
        <f t="shared" si="263"/>
        <v>10</v>
      </c>
      <c r="B775" t="str">
        <f>CLEAN("24")</f>
        <v>24</v>
      </c>
      <c r="C775" s="1">
        <v>46035</v>
      </c>
      <c r="D775" t="str">
        <f>CLEAN("6125-02-71")</f>
        <v>6125-02-71</v>
      </c>
      <c r="E775" t="str">
        <f>CLEAN("205  ")</f>
        <v xml:space="preserve">205  </v>
      </c>
      <c r="F775" t="str">
        <f>CLEAN("$1,000,000 - $1,999,999  ")</f>
        <v xml:space="preserve">$1,000,000 - $1,999,999  </v>
      </c>
      <c r="G775" t="str">
        <f t="shared" si="285"/>
        <v>LET</v>
      </c>
      <c r="H775" t="str">
        <f t="shared" si="286"/>
        <v xml:space="preserve">LET CONSTRUCTION         </v>
      </c>
      <c r="I775" t="str">
        <f>CLEAN("CONST/REPLACEMENT                  ")</f>
        <v xml:space="preserve">CONST/REPLACEMENT                  </v>
      </c>
      <c r="J775" t="str">
        <f>CLEAN("CTH D  ")</f>
        <v xml:space="preserve">CTH D  </v>
      </c>
      <c r="K775" t="str">
        <f>CLEAN("SHAWANO                       ")</f>
        <v xml:space="preserve">SHAWANO                       </v>
      </c>
      <c r="L775" t="str">
        <f>CLEAN("STH 29 - CTH J                     ")</f>
        <v xml:space="preserve">STH 29 - CTH J                     </v>
      </c>
      <c r="M775" t="str">
        <f>CLEAN("N BR EMBARRASS RIVER BR B-58-0139  ")</f>
        <v xml:space="preserve">N BR EMBARRASS RIVER BR B-58-0139  </v>
      </c>
      <c r="N775">
        <v>0</v>
      </c>
      <c r="O775" t="str">
        <f>CLEAN("          ")</f>
        <v xml:space="preserve">          </v>
      </c>
      <c r="P775" t="str">
        <f>CLEAN("LOCAL BRIDGES                                                                                       ")</f>
        <v xml:space="preserve">LOCAL BRIDGES                                                                                       </v>
      </c>
    </row>
    <row r="776" spans="1:16" x14ac:dyDescent="0.25">
      <c r="A776" t="str">
        <f t="shared" si="263"/>
        <v>10</v>
      </c>
      <c r="B776" t="str">
        <f t="shared" ref="B776:B807" si="287">CLEAN("21")</f>
        <v>21</v>
      </c>
      <c r="C776" s="1">
        <v>45944</v>
      </c>
      <c r="D776" t="str">
        <f t="shared" ref="D776:D781" si="288">CLEAN("6130-01-72")</f>
        <v>6130-01-72</v>
      </c>
      <c r="E776" t="str">
        <f t="shared" ref="E776:E807" si="289">CLEAN("303  ")</f>
        <v xml:space="preserve">303  </v>
      </c>
      <c r="F776" t="str">
        <f t="shared" ref="F776:F781" si="290">CLEAN("$100,000-$249,999        ")</f>
        <v xml:space="preserve">$100,000-$249,999        </v>
      </c>
      <c r="G776" t="str">
        <f t="shared" si="285"/>
        <v>LET</v>
      </c>
      <c r="H776" t="str">
        <f t="shared" si="286"/>
        <v xml:space="preserve">LET CONSTRUCTION         </v>
      </c>
      <c r="I776" t="str">
        <f t="shared" ref="I776:I781" si="291">CLEAN("CONST/MEDIAN IMPROVEMENTS/MISC     ")</f>
        <v xml:space="preserve">CONST/MEDIAN IMPROVEMENTS/MISC     </v>
      </c>
      <c r="J776" t="str">
        <f t="shared" ref="J776:J781" si="292">CLEAN("STH 013")</f>
        <v>STH 013</v>
      </c>
      <c r="K776" t="str">
        <f t="shared" ref="K776:K781" si="293">CLEAN("SAUK                          ")</f>
        <v xml:space="preserve">SAUK                          </v>
      </c>
      <c r="L776" t="str">
        <f t="shared" ref="L776:L781" si="294">CLEAN("WISCONSIN DELLS - ADAMS            ")</f>
        <v xml:space="preserve">WISCONSIN DELLS - ADAMS            </v>
      </c>
      <c r="M776" t="str">
        <f t="shared" ref="M776:M781" si="295">CLEAN("MEDIAN 350FT S OF US12 INTERSECTION")</f>
        <v>MEDIAN 350FT S OF US12 INTERSECTION</v>
      </c>
      <c r="N776">
        <v>0.113</v>
      </c>
      <c r="O776" t="str">
        <f>CLEAN("6145-01-72")</f>
        <v>6145-01-72</v>
      </c>
      <c r="P776" t="str">
        <f t="shared" ref="P776:P781" si="296">CLEAN("SAFETY (REGULAR HSIP)                                                                               ")</f>
        <v xml:space="preserve">SAFETY (REGULAR HSIP)                                                                               </v>
      </c>
    </row>
    <row r="777" spans="1:16" x14ac:dyDescent="0.25">
      <c r="A777" t="str">
        <f t="shared" si="263"/>
        <v>10</v>
      </c>
      <c r="B777" t="str">
        <f t="shared" si="287"/>
        <v>21</v>
      </c>
      <c r="C777" s="1">
        <v>45944</v>
      </c>
      <c r="D777" t="str">
        <f t="shared" si="288"/>
        <v>6130-01-72</v>
      </c>
      <c r="E777" t="str">
        <f t="shared" si="289"/>
        <v xml:space="preserve">303  </v>
      </c>
      <c r="F777" t="str">
        <f t="shared" si="290"/>
        <v xml:space="preserve">$100,000-$249,999        </v>
      </c>
      <c r="G777" t="str">
        <f t="shared" si="285"/>
        <v>LET</v>
      </c>
      <c r="H777" t="str">
        <f t="shared" si="286"/>
        <v xml:space="preserve">LET CONSTRUCTION         </v>
      </c>
      <c r="I777" t="str">
        <f t="shared" si="291"/>
        <v xml:space="preserve">CONST/MEDIAN IMPROVEMENTS/MISC     </v>
      </c>
      <c r="J777" t="str">
        <f t="shared" si="292"/>
        <v>STH 013</v>
      </c>
      <c r="K777" t="str">
        <f t="shared" si="293"/>
        <v xml:space="preserve">SAUK                          </v>
      </c>
      <c r="L777" t="str">
        <f t="shared" si="294"/>
        <v xml:space="preserve">WISCONSIN DELLS - ADAMS            </v>
      </c>
      <c r="M777" t="str">
        <f t="shared" si="295"/>
        <v>MEDIAN 350FT S OF US12 INTERSECTION</v>
      </c>
      <c r="N777">
        <v>0.113</v>
      </c>
      <c r="O777" t="str">
        <f>CLEAN("6145-01-73")</f>
        <v>6145-01-73</v>
      </c>
      <c r="P777" t="str">
        <f t="shared" si="296"/>
        <v xml:space="preserve">SAFETY (REGULAR HSIP)                                                                               </v>
      </c>
    </row>
    <row r="778" spans="1:16" x14ac:dyDescent="0.25">
      <c r="A778" t="str">
        <f t="shared" si="263"/>
        <v>10</v>
      </c>
      <c r="B778" t="str">
        <f t="shared" si="287"/>
        <v>21</v>
      </c>
      <c r="C778" s="1">
        <v>45944</v>
      </c>
      <c r="D778" t="str">
        <f t="shared" si="288"/>
        <v>6130-01-72</v>
      </c>
      <c r="E778" t="str">
        <f t="shared" si="289"/>
        <v xml:space="preserve">303  </v>
      </c>
      <c r="F778" t="str">
        <f t="shared" si="290"/>
        <v xml:space="preserve">$100,000-$249,999        </v>
      </c>
      <c r="G778" t="str">
        <f t="shared" si="285"/>
        <v>LET</v>
      </c>
      <c r="H778" t="str">
        <f t="shared" si="286"/>
        <v xml:space="preserve">LET CONSTRUCTION         </v>
      </c>
      <c r="I778" t="str">
        <f t="shared" si="291"/>
        <v xml:space="preserve">CONST/MEDIAN IMPROVEMENTS/MISC     </v>
      </c>
      <c r="J778" t="str">
        <f t="shared" si="292"/>
        <v>STH 013</v>
      </c>
      <c r="K778" t="str">
        <f t="shared" si="293"/>
        <v xml:space="preserve">SAUK                          </v>
      </c>
      <c r="L778" t="str">
        <f t="shared" si="294"/>
        <v xml:space="preserve">WISCONSIN DELLS - ADAMS            </v>
      </c>
      <c r="M778" t="str">
        <f t="shared" si="295"/>
        <v>MEDIAN 350FT S OF US12 INTERSECTION</v>
      </c>
      <c r="N778">
        <v>0.113</v>
      </c>
      <c r="O778" t="str">
        <f>CLEAN("6145-01-74")</f>
        <v>6145-01-74</v>
      </c>
      <c r="P778" t="str">
        <f t="shared" si="296"/>
        <v xml:space="preserve">SAFETY (REGULAR HSIP)                                                                               </v>
      </c>
    </row>
    <row r="779" spans="1:16" x14ac:dyDescent="0.25">
      <c r="A779" t="str">
        <f t="shared" si="263"/>
        <v>10</v>
      </c>
      <c r="B779" t="str">
        <f t="shared" si="287"/>
        <v>21</v>
      </c>
      <c r="C779" s="1">
        <v>45944</v>
      </c>
      <c r="D779" t="str">
        <f t="shared" si="288"/>
        <v>6130-01-72</v>
      </c>
      <c r="E779" t="str">
        <f t="shared" si="289"/>
        <v xml:space="preserve">303  </v>
      </c>
      <c r="F779" t="str">
        <f t="shared" si="290"/>
        <v xml:space="preserve">$100,000-$249,999        </v>
      </c>
      <c r="G779" t="str">
        <f t="shared" si="285"/>
        <v>LET</v>
      </c>
      <c r="H779" t="str">
        <f t="shared" si="286"/>
        <v xml:space="preserve">LET CONSTRUCTION         </v>
      </c>
      <c r="I779" t="str">
        <f t="shared" si="291"/>
        <v xml:space="preserve">CONST/MEDIAN IMPROVEMENTS/MISC     </v>
      </c>
      <c r="J779" t="str">
        <f t="shared" si="292"/>
        <v>STH 013</v>
      </c>
      <c r="K779" t="str">
        <f t="shared" si="293"/>
        <v xml:space="preserve">SAUK                          </v>
      </c>
      <c r="L779" t="str">
        <f t="shared" si="294"/>
        <v xml:space="preserve">WISCONSIN DELLS - ADAMS            </v>
      </c>
      <c r="M779" t="str">
        <f t="shared" si="295"/>
        <v>MEDIAN 350FT S OF US12 INTERSECTION</v>
      </c>
      <c r="N779">
        <v>0.113</v>
      </c>
      <c r="O779" t="str">
        <f>CLEAN("6145-01-82")</f>
        <v>6145-01-82</v>
      </c>
      <c r="P779" t="str">
        <f t="shared" si="296"/>
        <v xml:space="preserve">SAFETY (REGULAR HSIP)                                                                               </v>
      </c>
    </row>
    <row r="780" spans="1:16" x14ac:dyDescent="0.25">
      <c r="A780" t="str">
        <f t="shared" si="263"/>
        <v>10</v>
      </c>
      <c r="B780" t="str">
        <f t="shared" si="287"/>
        <v>21</v>
      </c>
      <c r="C780" s="1">
        <v>45944</v>
      </c>
      <c r="D780" t="str">
        <f t="shared" si="288"/>
        <v>6130-01-72</v>
      </c>
      <c r="E780" t="str">
        <f t="shared" si="289"/>
        <v xml:space="preserve">303  </v>
      </c>
      <c r="F780" t="str">
        <f t="shared" si="290"/>
        <v xml:space="preserve">$100,000-$249,999        </v>
      </c>
      <c r="G780" t="str">
        <f t="shared" si="285"/>
        <v>LET</v>
      </c>
      <c r="H780" t="str">
        <f t="shared" si="286"/>
        <v xml:space="preserve">LET CONSTRUCTION         </v>
      </c>
      <c r="I780" t="str">
        <f t="shared" si="291"/>
        <v xml:space="preserve">CONST/MEDIAN IMPROVEMENTS/MISC     </v>
      </c>
      <c r="J780" t="str">
        <f t="shared" si="292"/>
        <v>STH 013</v>
      </c>
      <c r="K780" t="str">
        <f t="shared" si="293"/>
        <v xml:space="preserve">SAUK                          </v>
      </c>
      <c r="L780" t="str">
        <f t="shared" si="294"/>
        <v xml:space="preserve">WISCONSIN DELLS - ADAMS            </v>
      </c>
      <c r="M780" t="str">
        <f t="shared" si="295"/>
        <v>MEDIAN 350FT S OF US12 INTERSECTION</v>
      </c>
      <c r="N780">
        <v>0.113</v>
      </c>
      <c r="O780" t="str">
        <f>CLEAN("6145-01-83")</f>
        <v>6145-01-83</v>
      </c>
      <c r="P780" t="str">
        <f t="shared" si="296"/>
        <v xml:space="preserve">SAFETY (REGULAR HSIP)                                                                               </v>
      </c>
    </row>
    <row r="781" spans="1:16" x14ac:dyDescent="0.25">
      <c r="A781" t="str">
        <f t="shared" si="263"/>
        <v>10</v>
      </c>
      <c r="B781" t="str">
        <f t="shared" si="287"/>
        <v>21</v>
      </c>
      <c r="C781" s="1">
        <v>45944</v>
      </c>
      <c r="D781" t="str">
        <f t="shared" si="288"/>
        <v>6130-01-72</v>
      </c>
      <c r="E781" t="str">
        <f t="shared" si="289"/>
        <v xml:space="preserve">303  </v>
      </c>
      <c r="F781" t="str">
        <f t="shared" si="290"/>
        <v xml:space="preserve">$100,000-$249,999        </v>
      </c>
      <c r="G781" t="str">
        <f t="shared" si="285"/>
        <v>LET</v>
      </c>
      <c r="H781" t="str">
        <f t="shared" si="286"/>
        <v xml:space="preserve">LET CONSTRUCTION         </v>
      </c>
      <c r="I781" t="str">
        <f t="shared" si="291"/>
        <v xml:space="preserve">CONST/MEDIAN IMPROVEMENTS/MISC     </v>
      </c>
      <c r="J781" t="str">
        <f t="shared" si="292"/>
        <v>STH 013</v>
      </c>
      <c r="K781" t="str">
        <f t="shared" si="293"/>
        <v xml:space="preserve">SAUK                          </v>
      </c>
      <c r="L781" t="str">
        <f t="shared" si="294"/>
        <v xml:space="preserve">WISCONSIN DELLS - ADAMS            </v>
      </c>
      <c r="M781" t="str">
        <f t="shared" si="295"/>
        <v>MEDIAN 350FT S OF US12 INTERSECTION</v>
      </c>
      <c r="N781">
        <v>0.113</v>
      </c>
      <c r="O781" t="str">
        <f>CLEAN("6145-01-84")</f>
        <v>6145-01-84</v>
      </c>
      <c r="P781" t="str">
        <f t="shared" si="296"/>
        <v xml:space="preserve">SAFETY (REGULAR HSIP)                                                                               </v>
      </c>
    </row>
    <row r="782" spans="1:16" x14ac:dyDescent="0.25">
      <c r="A782" t="str">
        <f t="shared" si="263"/>
        <v>10</v>
      </c>
      <c r="B782" t="str">
        <f t="shared" si="287"/>
        <v>21</v>
      </c>
      <c r="C782" s="1">
        <v>45925</v>
      </c>
      <c r="D782" t="str">
        <f>CLEAN("6130-04-21")</f>
        <v>6130-04-21</v>
      </c>
      <c r="E782" t="str">
        <f t="shared" si="289"/>
        <v xml:space="preserve">303  </v>
      </c>
      <c r="F782" t="str">
        <f>CLEAN("$0 - $99,999             ")</f>
        <v xml:space="preserve">$0 - $99,999             </v>
      </c>
      <c r="G782" t="str">
        <f>CLEAN("R/E")</f>
        <v>R/E</v>
      </c>
      <c r="H782" t="str">
        <f>CLEAN("NONLET CONSTR/REAL ESTATE")</f>
        <v>NONLET CONSTR/REAL ESTATE</v>
      </c>
      <c r="I782" t="str">
        <f>CLEAN("RIGHT OF WAY-MISC                  ")</f>
        <v xml:space="preserve">RIGHT OF WAY-MISC                  </v>
      </c>
      <c r="J782" t="str">
        <f>CLEAN("STH 016")</f>
        <v>STH 016</v>
      </c>
      <c r="K782" t="str">
        <f>CLEAN("COLUMBIA                      ")</f>
        <v xml:space="preserve">COLUMBIA                      </v>
      </c>
      <c r="L782" t="str">
        <f>CLEAN("WISCONSIN DELLS - PORTAGE          ")</f>
        <v xml:space="preserve">WISCONSIN DELLS - PORTAGE          </v>
      </c>
      <c r="M782" t="str">
        <f>CLEAN("SLOPE 0.2 MI N OF DEERFIELD TRAIL  ")</f>
        <v xml:space="preserve">SLOPE 0.2 MI N OF DEERFIELD TRAIL  </v>
      </c>
      <c r="N782">
        <v>3.4000000000000002E-2</v>
      </c>
      <c r="O782" t="str">
        <f>CLEAN("          ")</f>
        <v xml:space="preserve">          </v>
      </c>
      <c r="P782" t="str">
        <f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783" spans="1:16" x14ac:dyDescent="0.25">
      <c r="A783" t="str">
        <f t="shared" si="263"/>
        <v>10</v>
      </c>
      <c r="B783" t="str">
        <f t="shared" si="287"/>
        <v>21</v>
      </c>
      <c r="C783" s="1">
        <v>45944</v>
      </c>
      <c r="D783" t="str">
        <f t="shared" ref="D783:D794" si="297">CLEAN("6145-01-72")</f>
        <v>6145-01-72</v>
      </c>
      <c r="E783" t="str">
        <f t="shared" si="289"/>
        <v xml:space="preserve">303  </v>
      </c>
      <c r="F783" t="str">
        <f t="shared" ref="F783:F794" si="298">CLEAN("$11,000,000 - $11,999,999")</f>
        <v>$11,000,000 - $11,999,999</v>
      </c>
      <c r="G783" t="str">
        <f t="shared" ref="G783:G814" si="299">CLEAN("LET")</f>
        <v>LET</v>
      </c>
      <c r="H783" t="str">
        <f t="shared" ref="H783:H814" si="300">CLEAN("LET CONSTRUCTION         ")</f>
        <v xml:space="preserve">LET CONSTRUCTION         </v>
      </c>
      <c r="I783" t="str">
        <f t="shared" ref="I783:I794" si="301">CLEAN("CONSTRUCTION/PVRPLA                ")</f>
        <v xml:space="preserve">CONSTRUCTION/PVRPLA                </v>
      </c>
      <c r="J783" t="str">
        <f t="shared" ref="J783:J814" si="302">CLEAN("USH 012")</f>
        <v>USH 012</v>
      </c>
      <c r="K783" t="str">
        <f t="shared" ref="K783:K814" si="303">CLEAN("SAUK                          ")</f>
        <v xml:space="preserve">SAUK                          </v>
      </c>
      <c r="L783" t="str">
        <f t="shared" ref="L783:L814" si="304">CLEAN("WISCONSIN DELLS - BARABOO          ")</f>
        <v xml:space="preserve">WISCONSIN DELLS - BARABOO          </v>
      </c>
      <c r="M783" t="str">
        <f t="shared" ref="M783:M794" si="305">CLEAN("CTH A TO PILGRIM DRIVE             ")</f>
        <v xml:space="preserve">CTH A TO PILGRIM DRIVE             </v>
      </c>
      <c r="N783">
        <v>1.0389999999999999</v>
      </c>
      <c r="O783" t="str">
        <f>CLEAN("6130-01-72")</f>
        <v>6130-01-72</v>
      </c>
      <c r="P783" t="str">
        <f>CLEAN("SAFETY (REGULAR HSIP)                                                                               ")</f>
        <v xml:space="preserve">SAFETY (REGULAR HSIP)                                                                               </v>
      </c>
    </row>
    <row r="784" spans="1:16" x14ac:dyDescent="0.25">
      <c r="A784" t="str">
        <f t="shared" si="263"/>
        <v>10</v>
      </c>
      <c r="B784" t="str">
        <f t="shared" si="287"/>
        <v>21</v>
      </c>
      <c r="C784" s="1">
        <v>45944</v>
      </c>
      <c r="D784" t="str">
        <f t="shared" si="297"/>
        <v>6145-01-72</v>
      </c>
      <c r="E784" t="str">
        <f t="shared" si="289"/>
        <v xml:space="preserve">303  </v>
      </c>
      <c r="F784" t="str">
        <f t="shared" si="298"/>
        <v>$11,000,000 - $11,999,999</v>
      </c>
      <c r="G784" t="str">
        <f t="shared" si="299"/>
        <v>LET</v>
      </c>
      <c r="H784" t="str">
        <f t="shared" si="300"/>
        <v xml:space="preserve">LET CONSTRUCTION         </v>
      </c>
      <c r="I784" t="str">
        <f t="shared" si="301"/>
        <v xml:space="preserve">CONSTRUCTION/PVRPLA                </v>
      </c>
      <c r="J784" t="str">
        <f t="shared" si="302"/>
        <v>USH 012</v>
      </c>
      <c r="K784" t="str">
        <f t="shared" si="303"/>
        <v xml:space="preserve">SAUK                          </v>
      </c>
      <c r="L784" t="str">
        <f t="shared" si="304"/>
        <v xml:space="preserve">WISCONSIN DELLS - BARABOO          </v>
      </c>
      <c r="M784" t="str">
        <f t="shared" si="305"/>
        <v xml:space="preserve">CTH A TO PILGRIM DRIVE             </v>
      </c>
      <c r="N784">
        <v>1.0389999999999999</v>
      </c>
      <c r="O784" t="str">
        <f>CLEAN("6130-01-72")</f>
        <v>6130-01-72</v>
      </c>
      <c r="P784" t="str">
        <f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785" spans="1:16" x14ac:dyDescent="0.25">
      <c r="A785" t="str">
        <f t="shared" si="263"/>
        <v>10</v>
      </c>
      <c r="B785" t="str">
        <f t="shared" si="287"/>
        <v>21</v>
      </c>
      <c r="C785" s="1">
        <v>45944</v>
      </c>
      <c r="D785" t="str">
        <f t="shared" si="297"/>
        <v>6145-01-72</v>
      </c>
      <c r="E785" t="str">
        <f t="shared" si="289"/>
        <v xml:space="preserve">303  </v>
      </c>
      <c r="F785" t="str">
        <f t="shared" si="298"/>
        <v>$11,000,000 - $11,999,999</v>
      </c>
      <c r="G785" t="str">
        <f t="shared" si="299"/>
        <v>LET</v>
      </c>
      <c r="H785" t="str">
        <f t="shared" si="300"/>
        <v xml:space="preserve">LET CONSTRUCTION         </v>
      </c>
      <c r="I785" t="str">
        <f t="shared" si="301"/>
        <v xml:space="preserve">CONSTRUCTION/PVRPLA                </v>
      </c>
      <c r="J785" t="str">
        <f t="shared" si="302"/>
        <v>USH 012</v>
      </c>
      <c r="K785" t="str">
        <f t="shared" si="303"/>
        <v xml:space="preserve">SAUK                          </v>
      </c>
      <c r="L785" t="str">
        <f t="shared" si="304"/>
        <v xml:space="preserve">WISCONSIN DELLS - BARABOO          </v>
      </c>
      <c r="M785" t="str">
        <f t="shared" si="305"/>
        <v xml:space="preserve">CTH A TO PILGRIM DRIVE             </v>
      </c>
      <c r="N785">
        <v>1.0389999999999999</v>
      </c>
      <c r="O785" t="str">
        <f>CLEAN("6145-01-73")</f>
        <v>6145-01-73</v>
      </c>
      <c r="P785" t="str">
        <f>CLEAN("SAFETY (REGULAR HSIP)                                                                               ")</f>
        <v xml:space="preserve">SAFETY (REGULAR HSIP)                                                                               </v>
      </c>
    </row>
    <row r="786" spans="1:16" x14ac:dyDescent="0.25">
      <c r="A786" t="str">
        <f t="shared" si="263"/>
        <v>10</v>
      </c>
      <c r="B786" t="str">
        <f t="shared" si="287"/>
        <v>21</v>
      </c>
      <c r="C786" s="1">
        <v>45944</v>
      </c>
      <c r="D786" t="str">
        <f t="shared" si="297"/>
        <v>6145-01-72</v>
      </c>
      <c r="E786" t="str">
        <f t="shared" si="289"/>
        <v xml:space="preserve">303  </v>
      </c>
      <c r="F786" t="str">
        <f t="shared" si="298"/>
        <v>$11,000,000 - $11,999,999</v>
      </c>
      <c r="G786" t="str">
        <f t="shared" si="299"/>
        <v>LET</v>
      </c>
      <c r="H786" t="str">
        <f t="shared" si="300"/>
        <v xml:space="preserve">LET CONSTRUCTION         </v>
      </c>
      <c r="I786" t="str">
        <f t="shared" si="301"/>
        <v xml:space="preserve">CONSTRUCTION/PVRPLA                </v>
      </c>
      <c r="J786" t="str">
        <f t="shared" si="302"/>
        <v>USH 012</v>
      </c>
      <c r="K786" t="str">
        <f t="shared" si="303"/>
        <v xml:space="preserve">SAUK                          </v>
      </c>
      <c r="L786" t="str">
        <f t="shared" si="304"/>
        <v xml:space="preserve">WISCONSIN DELLS - BARABOO          </v>
      </c>
      <c r="M786" t="str">
        <f t="shared" si="305"/>
        <v xml:space="preserve">CTH A TO PILGRIM DRIVE             </v>
      </c>
      <c r="N786">
        <v>1.0389999999999999</v>
      </c>
      <c r="O786" t="str">
        <f>CLEAN("6145-01-73")</f>
        <v>6145-01-73</v>
      </c>
      <c r="P786" t="str">
        <f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787" spans="1:16" x14ac:dyDescent="0.25">
      <c r="A787" t="str">
        <f t="shared" si="263"/>
        <v>10</v>
      </c>
      <c r="B787" t="str">
        <f t="shared" si="287"/>
        <v>21</v>
      </c>
      <c r="C787" s="1">
        <v>45944</v>
      </c>
      <c r="D787" t="str">
        <f t="shared" si="297"/>
        <v>6145-01-72</v>
      </c>
      <c r="E787" t="str">
        <f t="shared" si="289"/>
        <v xml:space="preserve">303  </v>
      </c>
      <c r="F787" t="str">
        <f t="shared" si="298"/>
        <v>$11,000,000 - $11,999,999</v>
      </c>
      <c r="G787" t="str">
        <f t="shared" si="299"/>
        <v>LET</v>
      </c>
      <c r="H787" t="str">
        <f t="shared" si="300"/>
        <v xml:space="preserve">LET CONSTRUCTION         </v>
      </c>
      <c r="I787" t="str">
        <f t="shared" si="301"/>
        <v xml:space="preserve">CONSTRUCTION/PVRPLA                </v>
      </c>
      <c r="J787" t="str">
        <f t="shared" si="302"/>
        <v>USH 012</v>
      </c>
      <c r="K787" t="str">
        <f t="shared" si="303"/>
        <v xml:space="preserve">SAUK                          </v>
      </c>
      <c r="L787" t="str">
        <f t="shared" si="304"/>
        <v xml:space="preserve">WISCONSIN DELLS - BARABOO          </v>
      </c>
      <c r="M787" t="str">
        <f t="shared" si="305"/>
        <v xml:space="preserve">CTH A TO PILGRIM DRIVE             </v>
      </c>
      <c r="N787">
        <v>1.0389999999999999</v>
      </c>
      <c r="O787" t="str">
        <f>CLEAN("6145-01-74")</f>
        <v>6145-01-74</v>
      </c>
      <c r="P787" t="str">
        <f>CLEAN("SAFETY (REGULAR HSIP)                                                                               ")</f>
        <v xml:space="preserve">SAFETY (REGULAR HSIP)                                                                               </v>
      </c>
    </row>
    <row r="788" spans="1:16" x14ac:dyDescent="0.25">
      <c r="A788" t="str">
        <f t="shared" si="263"/>
        <v>10</v>
      </c>
      <c r="B788" t="str">
        <f t="shared" si="287"/>
        <v>21</v>
      </c>
      <c r="C788" s="1">
        <v>45944</v>
      </c>
      <c r="D788" t="str">
        <f t="shared" si="297"/>
        <v>6145-01-72</v>
      </c>
      <c r="E788" t="str">
        <f t="shared" si="289"/>
        <v xml:space="preserve">303  </v>
      </c>
      <c r="F788" t="str">
        <f t="shared" si="298"/>
        <v>$11,000,000 - $11,999,999</v>
      </c>
      <c r="G788" t="str">
        <f t="shared" si="299"/>
        <v>LET</v>
      </c>
      <c r="H788" t="str">
        <f t="shared" si="300"/>
        <v xml:space="preserve">LET CONSTRUCTION         </v>
      </c>
      <c r="I788" t="str">
        <f t="shared" si="301"/>
        <v xml:space="preserve">CONSTRUCTION/PVRPLA                </v>
      </c>
      <c r="J788" t="str">
        <f t="shared" si="302"/>
        <v>USH 012</v>
      </c>
      <c r="K788" t="str">
        <f t="shared" si="303"/>
        <v xml:space="preserve">SAUK                          </v>
      </c>
      <c r="L788" t="str">
        <f t="shared" si="304"/>
        <v xml:space="preserve">WISCONSIN DELLS - BARABOO          </v>
      </c>
      <c r="M788" t="str">
        <f t="shared" si="305"/>
        <v xml:space="preserve">CTH A TO PILGRIM DRIVE             </v>
      </c>
      <c r="N788">
        <v>1.0389999999999999</v>
      </c>
      <c r="O788" t="str">
        <f>CLEAN("6145-01-74")</f>
        <v>6145-01-74</v>
      </c>
      <c r="P788" t="str">
        <f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789" spans="1:16" x14ac:dyDescent="0.25">
      <c r="A789" t="str">
        <f t="shared" si="263"/>
        <v>10</v>
      </c>
      <c r="B789" t="str">
        <f t="shared" si="287"/>
        <v>21</v>
      </c>
      <c r="C789" s="1">
        <v>45944</v>
      </c>
      <c r="D789" t="str">
        <f t="shared" si="297"/>
        <v>6145-01-72</v>
      </c>
      <c r="E789" t="str">
        <f t="shared" si="289"/>
        <v xml:space="preserve">303  </v>
      </c>
      <c r="F789" t="str">
        <f t="shared" si="298"/>
        <v>$11,000,000 - $11,999,999</v>
      </c>
      <c r="G789" t="str">
        <f t="shared" si="299"/>
        <v>LET</v>
      </c>
      <c r="H789" t="str">
        <f t="shared" si="300"/>
        <v xml:space="preserve">LET CONSTRUCTION         </v>
      </c>
      <c r="I789" t="str">
        <f t="shared" si="301"/>
        <v xml:space="preserve">CONSTRUCTION/PVRPLA                </v>
      </c>
      <c r="J789" t="str">
        <f t="shared" si="302"/>
        <v>USH 012</v>
      </c>
      <c r="K789" t="str">
        <f t="shared" si="303"/>
        <v xml:space="preserve">SAUK                          </v>
      </c>
      <c r="L789" t="str">
        <f t="shared" si="304"/>
        <v xml:space="preserve">WISCONSIN DELLS - BARABOO          </v>
      </c>
      <c r="M789" t="str">
        <f t="shared" si="305"/>
        <v xml:space="preserve">CTH A TO PILGRIM DRIVE             </v>
      </c>
      <c r="N789">
        <v>1.0389999999999999</v>
      </c>
      <c r="O789" t="str">
        <f>CLEAN("6145-01-82")</f>
        <v>6145-01-82</v>
      </c>
      <c r="P789" t="str">
        <f>CLEAN("SAFETY (REGULAR HSIP)                                                                               ")</f>
        <v xml:space="preserve">SAFETY (REGULAR HSIP)                                                                               </v>
      </c>
    </row>
    <row r="790" spans="1:16" x14ac:dyDescent="0.25">
      <c r="A790" t="str">
        <f t="shared" si="263"/>
        <v>10</v>
      </c>
      <c r="B790" t="str">
        <f t="shared" si="287"/>
        <v>21</v>
      </c>
      <c r="C790" s="1">
        <v>45944</v>
      </c>
      <c r="D790" t="str">
        <f t="shared" si="297"/>
        <v>6145-01-72</v>
      </c>
      <c r="E790" t="str">
        <f t="shared" si="289"/>
        <v xml:space="preserve">303  </v>
      </c>
      <c r="F790" t="str">
        <f t="shared" si="298"/>
        <v>$11,000,000 - $11,999,999</v>
      </c>
      <c r="G790" t="str">
        <f t="shared" si="299"/>
        <v>LET</v>
      </c>
      <c r="H790" t="str">
        <f t="shared" si="300"/>
        <v xml:space="preserve">LET CONSTRUCTION         </v>
      </c>
      <c r="I790" t="str">
        <f t="shared" si="301"/>
        <v xml:space="preserve">CONSTRUCTION/PVRPLA                </v>
      </c>
      <c r="J790" t="str">
        <f t="shared" si="302"/>
        <v>USH 012</v>
      </c>
      <c r="K790" t="str">
        <f t="shared" si="303"/>
        <v xml:space="preserve">SAUK                          </v>
      </c>
      <c r="L790" t="str">
        <f t="shared" si="304"/>
        <v xml:space="preserve">WISCONSIN DELLS - BARABOO          </v>
      </c>
      <c r="M790" t="str">
        <f t="shared" si="305"/>
        <v xml:space="preserve">CTH A TO PILGRIM DRIVE             </v>
      </c>
      <c r="N790">
        <v>1.0389999999999999</v>
      </c>
      <c r="O790" t="str">
        <f>CLEAN("6145-01-82")</f>
        <v>6145-01-82</v>
      </c>
      <c r="P790" t="str">
        <f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791" spans="1:16" x14ac:dyDescent="0.25">
      <c r="A791" t="str">
        <f t="shared" si="263"/>
        <v>10</v>
      </c>
      <c r="B791" t="str">
        <f t="shared" si="287"/>
        <v>21</v>
      </c>
      <c r="C791" s="1">
        <v>45944</v>
      </c>
      <c r="D791" t="str">
        <f t="shared" si="297"/>
        <v>6145-01-72</v>
      </c>
      <c r="E791" t="str">
        <f t="shared" si="289"/>
        <v xml:space="preserve">303  </v>
      </c>
      <c r="F791" t="str">
        <f t="shared" si="298"/>
        <v>$11,000,000 - $11,999,999</v>
      </c>
      <c r="G791" t="str">
        <f t="shared" si="299"/>
        <v>LET</v>
      </c>
      <c r="H791" t="str">
        <f t="shared" si="300"/>
        <v xml:space="preserve">LET CONSTRUCTION         </v>
      </c>
      <c r="I791" t="str">
        <f t="shared" si="301"/>
        <v xml:space="preserve">CONSTRUCTION/PVRPLA                </v>
      </c>
      <c r="J791" t="str">
        <f t="shared" si="302"/>
        <v>USH 012</v>
      </c>
      <c r="K791" t="str">
        <f t="shared" si="303"/>
        <v xml:space="preserve">SAUK                          </v>
      </c>
      <c r="L791" t="str">
        <f t="shared" si="304"/>
        <v xml:space="preserve">WISCONSIN DELLS - BARABOO          </v>
      </c>
      <c r="M791" t="str">
        <f t="shared" si="305"/>
        <v xml:space="preserve">CTH A TO PILGRIM DRIVE             </v>
      </c>
      <c r="N791">
        <v>1.0389999999999999</v>
      </c>
      <c r="O791" t="str">
        <f>CLEAN("6145-01-83")</f>
        <v>6145-01-83</v>
      </c>
      <c r="P791" t="str">
        <f>CLEAN("SAFETY (REGULAR HSIP)                                                                               ")</f>
        <v xml:space="preserve">SAFETY (REGULAR HSIP)                                                                               </v>
      </c>
    </row>
    <row r="792" spans="1:16" x14ac:dyDescent="0.25">
      <c r="A792" t="str">
        <f t="shared" si="263"/>
        <v>10</v>
      </c>
      <c r="B792" t="str">
        <f t="shared" si="287"/>
        <v>21</v>
      </c>
      <c r="C792" s="1">
        <v>45944</v>
      </c>
      <c r="D792" t="str">
        <f t="shared" si="297"/>
        <v>6145-01-72</v>
      </c>
      <c r="E792" t="str">
        <f t="shared" si="289"/>
        <v xml:space="preserve">303  </v>
      </c>
      <c r="F792" t="str">
        <f t="shared" si="298"/>
        <v>$11,000,000 - $11,999,999</v>
      </c>
      <c r="G792" t="str">
        <f t="shared" si="299"/>
        <v>LET</v>
      </c>
      <c r="H792" t="str">
        <f t="shared" si="300"/>
        <v xml:space="preserve">LET CONSTRUCTION         </v>
      </c>
      <c r="I792" t="str">
        <f t="shared" si="301"/>
        <v xml:space="preserve">CONSTRUCTION/PVRPLA                </v>
      </c>
      <c r="J792" t="str">
        <f t="shared" si="302"/>
        <v>USH 012</v>
      </c>
      <c r="K792" t="str">
        <f t="shared" si="303"/>
        <v xml:space="preserve">SAUK                          </v>
      </c>
      <c r="L792" t="str">
        <f t="shared" si="304"/>
        <v xml:space="preserve">WISCONSIN DELLS - BARABOO          </v>
      </c>
      <c r="M792" t="str">
        <f t="shared" si="305"/>
        <v xml:space="preserve">CTH A TO PILGRIM DRIVE             </v>
      </c>
      <c r="N792">
        <v>1.0389999999999999</v>
      </c>
      <c r="O792" t="str">
        <f>CLEAN("6145-01-83")</f>
        <v>6145-01-83</v>
      </c>
      <c r="P792" t="str">
        <f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793" spans="1:16" x14ac:dyDescent="0.25">
      <c r="A793" t="str">
        <f t="shared" si="263"/>
        <v>10</v>
      </c>
      <c r="B793" t="str">
        <f t="shared" si="287"/>
        <v>21</v>
      </c>
      <c r="C793" s="1">
        <v>45944</v>
      </c>
      <c r="D793" t="str">
        <f t="shared" si="297"/>
        <v>6145-01-72</v>
      </c>
      <c r="E793" t="str">
        <f t="shared" si="289"/>
        <v xml:space="preserve">303  </v>
      </c>
      <c r="F793" t="str">
        <f t="shared" si="298"/>
        <v>$11,000,000 - $11,999,999</v>
      </c>
      <c r="G793" t="str">
        <f t="shared" si="299"/>
        <v>LET</v>
      </c>
      <c r="H793" t="str">
        <f t="shared" si="300"/>
        <v xml:space="preserve">LET CONSTRUCTION         </v>
      </c>
      <c r="I793" t="str">
        <f t="shared" si="301"/>
        <v xml:space="preserve">CONSTRUCTION/PVRPLA                </v>
      </c>
      <c r="J793" t="str">
        <f t="shared" si="302"/>
        <v>USH 012</v>
      </c>
      <c r="K793" t="str">
        <f t="shared" si="303"/>
        <v xml:space="preserve">SAUK                          </v>
      </c>
      <c r="L793" t="str">
        <f t="shared" si="304"/>
        <v xml:space="preserve">WISCONSIN DELLS - BARABOO          </v>
      </c>
      <c r="M793" t="str">
        <f t="shared" si="305"/>
        <v xml:space="preserve">CTH A TO PILGRIM DRIVE             </v>
      </c>
      <c r="N793">
        <v>1.0389999999999999</v>
      </c>
      <c r="O793" t="str">
        <f>CLEAN("6145-01-84")</f>
        <v>6145-01-84</v>
      </c>
      <c r="P793" t="str">
        <f>CLEAN("SAFETY (REGULAR HSIP)                                                                               ")</f>
        <v xml:space="preserve">SAFETY (REGULAR HSIP)                                                                               </v>
      </c>
    </row>
    <row r="794" spans="1:16" x14ac:dyDescent="0.25">
      <c r="A794" t="str">
        <f t="shared" si="263"/>
        <v>10</v>
      </c>
      <c r="B794" t="str">
        <f t="shared" si="287"/>
        <v>21</v>
      </c>
      <c r="C794" s="1">
        <v>45944</v>
      </c>
      <c r="D794" t="str">
        <f t="shared" si="297"/>
        <v>6145-01-72</v>
      </c>
      <c r="E794" t="str">
        <f t="shared" si="289"/>
        <v xml:space="preserve">303  </v>
      </c>
      <c r="F794" t="str">
        <f t="shared" si="298"/>
        <v>$11,000,000 - $11,999,999</v>
      </c>
      <c r="G794" t="str">
        <f t="shared" si="299"/>
        <v>LET</v>
      </c>
      <c r="H794" t="str">
        <f t="shared" si="300"/>
        <v xml:space="preserve">LET CONSTRUCTION         </v>
      </c>
      <c r="I794" t="str">
        <f t="shared" si="301"/>
        <v xml:space="preserve">CONSTRUCTION/PVRPLA                </v>
      </c>
      <c r="J794" t="str">
        <f t="shared" si="302"/>
        <v>USH 012</v>
      </c>
      <c r="K794" t="str">
        <f t="shared" si="303"/>
        <v xml:space="preserve">SAUK                          </v>
      </c>
      <c r="L794" t="str">
        <f t="shared" si="304"/>
        <v xml:space="preserve">WISCONSIN DELLS - BARABOO          </v>
      </c>
      <c r="M794" t="str">
        <f t="shared" si="305"/>
        <v xml:space="preserve">CTH A TO PILGRIM DRIVE             </v>
      </c>
      <c r="N794">
        <v>1.0389999999999999</v>
      </c>
      <c r="O794" t="str">
        <f>CLEAN("6145-01-84")</f>
        <v>6145-01-84</v>
      </c>
      <c r="P794" t="str">
        <f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795" spans="1:16" x14ac:dyDescent="0.25">
      <c r="A795" t="str">
        <f t="shared" ref="A795:A858" si="306">CLEAN("10")</f>
        <v>10</v>
      </c>
      <c r="B795" t="str">
        <f t="shared" si="287"/>
        <v>21</v>
      </c>
      <c r="C795" s="1">
        <v>45944</v>
      </c>
      <c r="D795" t="str">
        <f t="shared" ref="D795:D806" si="307">CLEAN("6145-01-73")</f>
        <v>6145-01-73</v>
      </c>
      <c r="E795" t="str">
        <f t="shared" si="289"/>
        <v xml:space="preserve">303  </v>
      </c>
      <c r="F795" t="str">
        <f t="shared" ref="F795:F806" si="308">CLEAN("$9,000,000 - $9,999,999  ")</f>
        <v xml:space="preserve">$9,000,000 - $9,999,999  </v>
      </c>
      <c r="G795" t="str">
        <f t="shared" si="299"/>
        <v>LET</v>
      </c>
      <c r="H795" t="str">
        <f t="shared" si="300"/>
        <v xml:space="preserve">LET CONSTRUCTION         </v>
      </c>
      <c r="I795" t="str">
        <f t="shared" ref="I795:I806" si="309">CLEAN("CONST/FIVE LANE TWLTL              ")</f>
        <v xml:space="preserve">CONST/FIVE LANE TWLTL              </v>
      </c>
      <c r="J795" t="str">
        <f t="shared" si="302"/>
        <v>USH 012</v>
      </c>
      <c r="K795" t="str">
        <f t="shared" si="303"/>
        <v xml:space="preserve">SAUK                          </v>
      </c>
      <c r="L795" t="str">
        <f t="shared" si="304"/>
        <v xml:space="preserve">WISCONSIN DELLS - BARABOO          </v>
      </c>
      <c r="M795" t="str">
        <f t="shared" ref="M795:M806" si="310">CLEAN("PILGRIM DRIVE TO E ADAMS ST        ")</f>
        <v xml:space="preserve">PILGRIM DRIVE TO E ADAMS ST        </v>
      </c>
      <c r="N795">
        <v>0.98299999999999998</v>
      </c>
      <c r="O795" t="str">
        <f>CLEAN("6130-01-72")</f>
        <v>6130-01-72</v>
      </c>
      <c r="P795" t="str">
        <f>CLEAN("SAFETY (REGULAR HSIP)                                                                               ")</f>
        <v xml:space="preserve">SAFETY (REGULAR HSIP)                                                                               </v>
      </c>
    </row>
    <row r="796" spans="1:16" x14ac:dyDescent="0.25">
      <c r="A796" t="str">
        <f t="shared" si="306"/>
        <v>10</v>
      </c>
      <c r="B796" t="str">
        <f t="shared" si="287"/>
        <v>21</v>
      </c>
      <c r="C796" s="1">
        <v>45944</v>
      </c>
      <c r="D796" t="str">
        <f t="shared" si="307"/>
        <v>6145-01-73</v>
      </c>
      <c r="E796" t="str">
        <f t="shared" si="289"/>
        <v xml:space="preserve">303  </v>
      </c>
      <c r="F796" t="str">
        <f t="shared" si="308"/>
        <v xml:space="preserve">$9,000,000 - $9,999,999  </v>
      </c>
      <c r="G796" t="str">
        <f t="shared" si="299"/>
        <v>LET</v>
      </c>
      <c r="H796" t="str">
        <f t="shared" si="300"/>
        <v xml:space="preserve">LET CONSTRUCTION         </v>
      </c>
      <c r="I796" t="str">
        <f t="shared" si="309"/>
        <v xml:space="preserve">CONST/FIVE LANE TWLTL              </v>
      </c>
      <c r="J796" t="str">
        <f t="shared" si="302"/>
        <v>USH 012</v>
      </c>
      <c r="K796" t="str">
        <f t="shared" si="303"/>
        <v xml:space="preserve">SAUK                          </v>
      </c>
      <c r="L796" t="str">
        <f t="shared" si="304"/>
        <v xml:space="preserve">WISCONSIN DELLS - BARABOO          </v>
      </c>
      <c r="M796" t="str">
        <f t="shared" si="310"/>
        <v xml:space="preserve">PILGRIM DRIVE TO E ADAMS ST        </v>
      </c>
      <c r="N796">
        <v>0.98299999999999998</v>
      </c>
      <c r="O796" t="str">
        <f>CLEAN("6130-01-72")</f>
        <v>6130-01-72</v>
      </c>
      <c r="P796" t="str">
        <f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797" spans="1:16" x14ac:dyDescent="0.25">
      <c r="A797" t="str">
        <f t="shared" si="306"/>
        <v>10</v>
      </c>
      <c r="B797" t="str">
        <f t="shared" si="287"/>
        <v>21</v>
      </c>
      <c r="C797" s="1">
        <v>45944</v>
      </c>
      <c r="D797" t="str">
        <f t="shared" si="307"/>
        <v>6145-01-73</v>
      </c>
      <c r="E797" t="str">
        <f t="shared" si="289"/>
        <v xml:space="preserve">303  </v>
      </c>
      <c r="F797" t="str">
        <f t="shared" si="308"/>
        <v xml:space="preserve">$9,000,000 - $9,999,999  </v>
      </c>
      <c r="G797" t="str">
        <f t="shared" si="299"/>
        <v>LET</v>
      </c>
      <c r="H797" t="str">
        <f t="shared" si="300"/>
        <v xml:space="preserve">LET CONSTRUCTION         </v>
      </c>
      <c r="I797" t="str">
        <f t="shared" si="309"/>
        <v xml:space="preserve">CONST/FIVE LANE TWLTL              </v>
      </c>
      <c r="J797" t="str">
        <f t="shared" si="302"/>
        <v>USH 012</v>
      </c>
      <c r="K797" t="str">
        <f t="shared" si="303"/>
        <v xml:space="preserve">SAUK                          </v>
      </c>
      <c r="L797" t="str">
        <f t="shared" si="304"/>
        <v xml:space="preserve">WISCONSIN DELLS - BARABOO          </v>
      </c>
      <c r="M797" t="str">
        <f t="shared" si="310"/>
        <v xml:space="preserve">PILGRIM DRIVE TO E ADAMS ST        </v>
      </c>
      <c r="N797">
        <v>0.98299999999999998</v>
      </c>
      <c r="O797" t="str">
        <f>CLEAN("6145-01-72")</f>
        <v>6145-01-72</v>
      </c>
      <c r="P797" t="str">
        <f>CLEAN("SAFETY (REGULAR HSIP)                                                                               ")</f>
        <v xml:space="preserve">SAFETY (REGULAR HSIP)                                                                               </v>
      </c>
    </row>
    <row r="798" spans="1:16" x14ac:dyDescent="0.25">
      <c r="A798" t="str">
        <f t="shared" si="306"/>
        <v>10</v>
      </c>
      <c r="B798" t="str">
        <f t="shared" si="287"/>
        <v>21</v>
      </c>
      <c r="C798" s="1">
        <v>45944</v>
      </c>
      <c r="D798" t="str">
        <f t="shared" si="307"/>
        <v>6145-01-73</v>
      </c>
      <c r="E798" t="str">
        <f t="shared" si="289"/>
        <v xml:space="preserve">303  </v>
      </c>
      <c r="F798" t="str">
        <f t="shared" si="308"/>
        <v xml:space="preserve">$9,000,000 - $9,999,999  </v>
      </c>
      <c r="G798" t="str">
        <f t="shared" si="299"/>
        <v>LET</v>
      </c>
      <c r="H798" t="str">
        <f t="shared" si="300"/>
        <v xml:space="preserve">LET CONSTRUCTION         </v>
      </c>
      <c r="I798" t="str">
        <f t="shared" si="309"/>
        <v xml:space="preserve">CONST/FIVE LANE TWLTL              </v>
      </c>
      <c r="J798" t="str">
        <f t="shared" si="302"/>
        <v>USH 012</v>
      </c>
      <c r="K798" t="str">
        <f t="shared" si="303"/>
        <v xml:space="preserve">SAUK                          </v>
      </c>
      <c r="L798" t="str">
        <f t="shared" si="304"/>
        <v xml:space="preserve">WISCONSIN DELLS - BARABOO          </v>
      </c>
      <c r="M798" t="str">
        <f t="shared" si="310"/>
        <v xml:space="preserve">PILGRIM DRIVE TO E ADAMS ST        </v>
      </c>
      <c r="N798">
        <v>0.98299999999999998</v>
      </c>
      <c r="O798" t="str">
        <f>CLEAN("6145-01-72")</f>
        <v>6145-01-72</v>
      </c>
      <c r="P798" t="str">
        <f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799" spans="1:16" x14ac:dyDescent="0.25">
      <c r="A799" t="str">
        <f t="shared" si="306"/>
        <v>10</v>
      </c>
      <c r="B799" t="str">
        <f t="shared" si="287"/>
        <v>21</v>
      </c>
      <c r="C799" s="1">
        <v>45944</v>
      </c>
      <c r="D799" t="str">
        <f t="shared" si="307"/>
        <v>6145-01-73</v>
      </c>
      <c r="E799" t="str">
        <f t="shared" si="289"/>
        <v xml:space="preserve">303  </v>
      </c>
      <c r="F799" t="str">
        <f t="shared" si="308"/>
        <v xml:space="preserve">$9,000,000 - $9,999,999  </v>
      </c>
      <c r="G799" t="str">
        <f t="shared" si="299"/>
        <v>LET</v>
      </c>
      <c r="H799" t="str">
        <f t="shared" si="300"/>
        <v xml:space="preserve">LET CONSTRUCTION         </v>
      </c>
      <c r="I799" t="str">
        <f t="shared" si="309"/>
        <v xml:space="preserve">CONST/FIVE LANE TWLTL              </v>
      </c>
      <c r="J799" t="str">
        <f t="shared" si="302"/>
        <v>USH 012</v>
      </c>
      <c r="K799" t="str">
        <f t="shared" si="303"/>
        <v xml:space="preserve">SAUK                          </v>
      </c>
      <c r="L799" t="str">
        <f t="shared" si="304"/>
        <v xml:space="preserve">WISCONSIN DELLS - BARABOO          </v>
      </c>
      <c r="M799" t="str">
        <f t="shared" si="310"/>
        <v xml:space="preserve">PILGRIM DRIVE TO E ADAMS ST        </v>
      </c>
      <c r="N799">
        <v>0.98299999999999998</v>
      </c>
      <c r="O799" t="str">
        <f>CLEAN("6145-01-74")</f>
        <v>6145-01-74</v>
      </c>
      <c r="P799" t="str">
        <f>CLEAN("SAFETY (REGULAR HSIP)                                                                               ")</f>
        <v xml:space="preserve">SAFETY (REGULAR HSIP)                                                                               </v>
      </c>
    </row>
    <row r="800" spans="1:16" x14ac:dyDescent="0.25">
      <c r="A800" t="str">
        <f t="shared" si="306"/>
        <v>10</v>
      </c>
      <c r="B800" t="str">
        <f t="shared" si="287"/>
        <v>21</v>
      </c>
      <c r="C800" s="1">
        <v>45944</v>
      </c>
      <c r="D800" t="str">
        <f t="shared" si="307"/>
        <v>6145-01-73</v>
      </c>
      <c r="E800" t="str">
        <f t="shared" si="289"/>
        <v xml:space="preserve">303  </v>
      </c>
      <c r="F800" t="str">
        <f t="shared" si="308"/>
        <v xml:space="preserve">$9,000,000 - $9,999,999  </v>
      </c>
      <c r="G800" t="str">
        <f t="shared" si="299"/>
        <v>LET</v>
      </c>
      <c r="H800" t="str">
        <f t="shared" si="300"/>
        <v xml:space="preserve">LET CONSTRUCTION         </v>
      </c>
      <c r="I800" t="str">
        <f t="shared" si="309"/>
        <v xml:space="preserve">CONST/FIVE LANE TWLTL              </v>
      </c>
      <c r="J800" t="str">
        <f t="shared" si="302"/>
        <v>USH 012</v>
      </c>
      <c r="K800" t="str">
        <f t="shared" si="303"/>
        <v xml:space="preserve">SAUK                          </v>
      </c>
      <c r="L800" t="str">
        <f t="shared" si="304"/>
        <v xml:space="preserve">WISCONSIN DELLS - BARABOO          </v>
      </c>
      <c r="M800" t="str">
        <f t="shared" si="310"/>
        <v xml:space="preserve">PILGRIM DRIVE TO E ADAMS ST        </v>
      </c>
      <c r="N800">
        <v>0.98299999999999998</v>
      </c>
      <c r="O800" t="str">
        <f>CLEAN("6145-01-74")</f>
        <v>6145-01-74</v>
      </c>
      <c r="P800" t="str">
        <f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801" spans="1:16" x14ac:dyDescent="0.25">
      <c r="A801" t="str">
        <f t="shared" si="306"/>
        <v>10</v>
      </c>
      <c r="B801" t="str">
        <f t="shared" si="287"/>
        <v>21</v>
      </c>
      <c r="C801" s="1">
        <v>45944</v>
      </c>
      <c r="D801" t="str">
        <f t="shared" si="307"/>
        <v>6145-01-73</v>
      </c>
      <c r="E801" t="str">
        <f t="shared" si="289"/>
        <v xml:space="preserve">303  </v>
      </c>
      <c r="F801" t="str">
        <f t="shared" si="308"/>
        <v xml:space="preserve">$9,000,000 - $9,999,999  </v>
      </c>
      <c r="G801" t="str">
        <f t="shared" si="299"/>
        <v>LET</v>
      </c>
      <c r="H801" t="str">
        <f t="shared" si="300"/>
        <v xml:space="preserve">LET CONSTRUCTION         </v>
      </c>
      <c r="I801" t="str">
        <f t="shared" si="309"/>
        <v xml:space="preserve">CONST/FIVE LANE TWLTL              </v>
      </c>
      <c r="J801" t="str">
        <f t="shared" si="302"/>
        <v>USH 012</v>
      </c>
      <c r="K801" t="str">
        <f t="shared" si="303"/>
        <v xml:space="preserve">SAUK                          </v>
      </c>
      <c r="L801" t="str">
        <f t="shared" si="304"/>
        <v xml:space="preserve">WISCONSIN DELLS - BARABOO          </v>
      </c>
      <c r="M801" t="str">
        <f t="shared" si="310"/>
        <v xml:space="preserve">PILGRIM DRIVE TO E ADAMS ST        </v>
      </c>
      <c r="N801">
        <v>0.98299999999999998</v>
      </c>
      <c r="O801" t="str">
        <f>CLEAN("6145-01-82")</f>
        <v>6145-01-82</v>
      </c>
      <c r="P801" t="str">
        <f>CLEAN("SAFETY (REGULAR HSIP)                                                                               ")</f>
        <v xml:space="preserve">SAFETY (REGULAR HSIP)                                                                               </v>
      </c>
    </row>
    <row r="802" spans="1:16" x14ac:dyDescent="0.25">
      <c r="A802" t="str">
        <f t="shared" si="306"/>
        <v>10</v>
      </c>
      <c r="B802" t="str">
        <f t="shared" si="287"/>
        <v>21</v>
      </c>
      <c r="C802" s="1">
        <v>45944</v>
      </c>
      <c r="D802" t="str">
        <f t="shared" si="307"/>
        <v>6145-01-73</v>
      </c>
      <c r="E802" t="str">
        <f t="shared" si="289"/>
        <v xml:space="preserve">303  </v>
      </c>
      <c r="F802" t="str">
        <f t="shared" si="308"/>
        <v xml:space="preserve">$9,000,000 - $9,999,999  </v>
      </c>
      <c r="G802" t="str">
        <f t="shared" si="299"/>
        <v>LET</v>
      </c>
      <c r="H802" t="str">
        <f t="shared" si="300"/>
        <v xml:space="preserve">LET CONSTRUCTION         </v>
      </c>
      <c r="I802" t="str">
        <f t="shared" si="309"/>
        <v xml:space="preserve">CONST/FIVE LANE TWLTL              </v>
      </c>
      <c r="J802" t="str">
        <f t="shared" si="302"/>
        <v>USH 012</v>
      </c>
      <c r="K802" t="str">
        <f t="shared" si="303"/>
        <v xml:space="preserve">SAUK                          </v>
      </c>
      <c r="L802" t="str">
        <f t="shared" si="304"/>
        <v xml:space="preserve">WISCONSIN DELLS - BARABOO          </v>
      </c>
      <c r="M802" t="str">
        <f t="shared" si="310"/>
        <v xml:space="preserve">PILGRIM DRIVE TO E ADAMS ST        </v>
      </c>
      <c r="N802">
        <v>0.98299999999999998</v>
      </c>
      <c r="O802" t="str">
        <f>CLEAN("6145-01-82")</f>
        <v>6145-01-82</v>
      </c>
      <c r="P802" t="str">
        <f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803" spans="1:16" x14ac:dyDescent="0.25">
      <c r="A803" t="str">
        <f t="shared" si="306"/>
        <v>10</v>
      </c>
      <c r="B803" t="str">
        <f t="shared" si="287"/>
        <v>21</v>
      </c>
      <c r="C803" s="1">
        <v>45944</v>
      </c>
      <c r="D803" t="str">
        <f t="shared" si="307"/>
        <v>6145-01-73</v>
      </c>
      <c r="E803" t="str">
        <f t="shared" si="289"/>
        <v xml:space="preserve">303  </v>
      </c>
      <c r="F803" t="str">
        <f t="shared" si="308"/>
        <v xml:space="preserve">$9,000,000 - $9,999,999  </v>
      </c>
      <c r="G803" t="str">
        <f t="shared" si="299"/>
        <v>LET</v>
      </c>
      <c r="H803" t="str">
        <f t="shared" si="300"/>
        <v xml:space="preserve">LET CONSTRUCTION         </v>
      </c>
      <c r="I803" t="str">
        <f t="shared" si="309"/>
        <v xml:space="preserve">CONST/FIVE LANE TWLTL              </v>
      </c>
      <c r="J803" t="str">
        <f t="shared" si="302"/>
        <v>USH 012</v>
      </c>
      <c r="K803" t="str">
        <f t="shared" si="303"/>
        <v xml:space="preserve">SAUK                          </v>
      </c>
      <c r="L803" t="str">
        <f t="shared" si="304"/>
        <v xml:space="preserve">WISCONSIN DELLS - BARABOO          </v>
      </c>
      <c r="M803" t="str">
        <f t="shared" si="310"/>
        <v xml:space="preserve">PILGRIM DRIVE TO E ADAMS ST        </v>
      </c>
      <c r="N803">
        <v>0.98299999999999998</v>
      </c>
      <c r="O803" t="str">
        <f>CLEAN("6145-01-83")</f>
        <v>6145-01-83</v>
      </c>
      <c r="P803" t="str">
        <f>CLEAN("SAFETY (REGULAR HSIP)                                                                               ")</f>
        <v xml:space="preserve">SAFETY (REGULAR HSIP)                                                                               </v>
      </c>
    </row>
    <row r="804" spans="1:16" x14ac:dyDescent="0.25">
      <c r="A804" t="str">
        <f t="shared" si="306"/>
        <v>10</v>
      </c>
      <c r="B804" t="str">
        <f t="shared" si="287"/>
        <v>21</v>
      </c>
      <c r="C804" s="1">
        <v>45944</v>
      </c>
      <c r="D804" t="str">
        <f t="shared" si="307"/>
        <v>6145-01-73</v>
      </c>
      <c r="E804" t="str">
        <f t="shared" si="289"/>
        <v xml:space="preserve">303  </v>
      </c>
      <c r="F804" t="str">
        <f t="shared" si="308"/>
        <v xml:space="preserve">$9,000,000 - $9,999,999  </v>
      </c>
      <c r="G804" t="str">
        <f t="shared" si="299"/>
        <v>LET</v>
      </c>
      <c r="H804" t="str">
        <f t="shared" si="300"/>
        <v xml:space="preserve">LET CONSTRUCTION         </v>
      </c>
      <c r="I804" t="str">
        <f t="shared" si="309"/>
        <v xml:space="preserve">CONST/FIVE LANE TWLTL              </v>
      </c>
      <c r="J804" t="str">
        <f t="shared" si="302"/>
        <v>USH 012</v>
      </c>
      <c r="K804" t="str">
        <f t="shared" si="303"/>
        <v xml:space="preserve">SAUK                          </v>
      </c>
      <c r="L804" t="str">
        <f t="shared" si="304"/>
        <v xml:space="preserve">WISCONSIN DELLS - BARABOO          </v>
      </c>
      <c r="M804" t="str">
        <f t="shared" si="310"/>
        <v xml:space="preserve">PILGRIM DRIVE TO E ADAMS ST        </v>
      </c>
      <c r="N804">
        <v>0.98299999999999998</v>
      </c>
      <c r="O804" t="str">
        <f>CLEAN("6145-01-83")</f>
        <v>6145-01-83</v>
      </c>
      <c r="P804" t="str">
        <f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805" spans="1:16" x14ac:dyDescent="0.25">
      <c r="A805" t="str">
        <f t="shared" si="306"/>
        <v>10</v>
      </c>
      <c r="B805" t="str">
        <f t="shared" si="287"/>
        <v>21</v>
      </c>
      <c r="C805" s="1">
        <v>45944</v>
      </c>
      <c r="D805" t="str">
        <f t="shared" si="307"/>
        <v>6145-01-73</v>
      </c>
      <c r="E805" t="str">
        <f t="shared" si="289"/>
        <v xml:space="preserve">303  </v>
      </c>
      <c r="F805" t="str">
        <f t="shared" si="308"/>
        <v xml:space="preserve">$9,000,000 - $9,999,999  </v>
      </c>
      <c r="G805" t="str">
        <f t="shared" si="299"/>
        <v>LET</v>
      </c>
      <c r="H805" t="str">
        <f t="shared" si="300"/>
        <v xml:space="preserve">LET CONSTRUCTION         </v>
      </c>
      <c r="I805" t="str">
        <f t="shared" si="309"/>
        <v xml:space="preserve">CONST/FIVE LANE TWLTL              </v>
      </c>
      <c r="J805" t="str">
        <f t="shared" si="302"/>
        <v>USH 012</v>
      </c>
      <c r="K805" t="str">
        <f t="shared" si="303"/>
        <v xml:space="preserve">SAUK                          </v>
      </c>
      <c r="L805" t="str">
        <f t="shared" si="304"/>
        <v xml:space="preserve">WISCONSIN DELLS - BARABOO          </v>
      </c>
      <c r="M805" t="str">
        <f t="shared" si="310"/>
        <v xml:space="preserve">PILGRIM DRIVE TO E ADAMS ST        </v>
      </c>
      <c r="N805">
        <v>0.98299999999999998</v>
      </c>
      <c r="O805" t="str">
        <f>CLEAN("6145-01-84")</f>
        <v>6145-01-84</v>
      </c>
      <c r="P805" t="str">
        <f>CLEAN("SAFETY (REGULAR HSIP)                                                                               ")</f>
        <v xml:space="preserve">SAFETY (REGULAR HSIP)                                                                               </v>
      </c>
    </row>
    <row r="806" spans="1:16" x14ac:dyDescent="0.25">
      <c r="A806" t="str">
        <f t="shared" si="306"/>
        <v>10</v>
      </c>
      <c r="B806" t="str">
        <f t="shared" si="287"/>
        <v>21</v>
      </c>
      <c r="C806" s="1">
        <v>45944</v>
      </c>
      <c r="D806" t="str">
        <f t="shared" si="307"/>
        <v>6145-01-73</v>
      </c>
      <c r="E806" t="str">
        <f t="shared" si="289"/>
        <v xml:space="preserve">303  </v>
      </c>
      <c r="F806" t="str">
        <f t="shared" si="308"/>
        <v xml:space="preserve">$9,000,000 - $9,999,999  </v>
      </c>
      <c r="G806" t="str">
        <f t="shared" si="299"/>
        <v>LET</v>
      </c>
      <c r="H806" t="str">
        <f t="shared" si="300"/>
        <v xml:space="preserve">LET CONSTRUCTION         </v>
      </c>
      <c r="I806" t="str">
        <f t="shared" si="309"/>
        <v xml:space="preserve">CONST/FIVE LANE TWLTL              </v>
      </c>
      <c r="J806" t="str">
        <f t="shared" si="302"/>
        <v>USH 012</v>
      </c>
      <c r="K806" t="str">
        <f t="shared" si="303"/>
        <v xml:space="preserve">SAUK                          </v>
      </c>
      <c r="L806" t="str">
        <f t="shared" si="304"/>
        <v xml:space="preserve">WISCONSIN DELLS - BARABOO          </v>
      </c>
      <c r="M806" t="str">
        <f t="shared" si="310"/>
        <v xml:space="preserve">PILGRIM DRIVE TO E ADAMS ST        </v>
      </c>
      <c r="N806">
        <v>0.98299999999999998</v>
      </c>
      <c r="O806" t="str">
        <f>CLEAN("6145-01-84")</f>
        <v>6145-01-84</v>
      </c>
      <c r="P806" t="str">
        <f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807" spans="1:16" x14ac:dyDescent="0.25">
      <c r="A807" t="str">
        <f t="shared" si="306"/>
        <v>10</v>
      </c>
      <c r="B807" t="str">
        <f t="shared" si="287"/>
        <v>21</v>
      </c>
      <c r="C807" s="1">
        <v>45944</v>
      </c>
      <c r="D807" t="str">
        <f t="shared" ref="D807:D818" si="311">CLEAN("6145-01-74")</f>
        <v>6145-01-74</v>
      </c>
      <c r="E807" t="str">
        <f t="shared" si="289"/>
        <v xml:space="preserve">303  </v>
      </c>
      <c r="F807" t="str">
        <f t="shared" ref="F807:F818" si="312">CLEAN("$8,000,000 - $8,999,999  ")</f>
        <v xml:space="preserve">$8,000,000 - $8,999,999  </v>
      </c>
      <c r="G807" t="str">
        <f t="shared" si="299"/>
        <v>LET</v>
      </c>
      <c r="H807" t="str">
        <f t="shared" si="300"/>
        <v xml:space="preserve">LET CONSTRUCTION         </v>
      </c>
      <c r="I807" t="str">
        <f t="shared" ref="I807:I818" si="313">CLEAN("CONSTRUCTION/ PVRPLA               ")</f>
        <v xml:space="preserve">CONSTRUCTION/ PVRPLA               </v>
      </c>
      <c r="J807" t="str">
        <f t="shared" si="302"/>
        <v>USH 012</v>
      </c>
      <c r="K807" t="str">
        <f t="shared" si="303"/>
        <v xml:space="preserve">SAUK                          </v>
      </c>
      <c r="L807" t="str">
        <f t="shared" si="304"/>
        <v xml:space="preserve">WISCONSIN DELLS - BARABOO          </v>
      </c>
      <c r="M807" t="str">
        <f t="shared" ref="M807:M818" si="314">CLEAN("STH 13 TO CTH A                    ")</f>
        <v xml:space="preserve">STH 13 TO CTH A                    </v>
      </c>
      <c r="N807">
        <v>0.53600000000000003</v>
      </c>
      <c r="O807" t="str">
        <f>CLEAN("6130-01-72")</f>
        <v>6130-01-72</v>
      </c>
      <c r="P807" t="str">
        <f>CLEAN("SAFETY (REGULAR HSIP)                                                                               ")</f>
        <v xml:space="preserve">SAFETY (REGULAR HSIP)                                                                               </v>
      </c>
    </row>
    <row r="808" spans="1:16" x14ac:dyDescent="0.25">
      <c r="A808" t="str">
        <f t="shared" si="306"/>
        <v>10</v>
      </c>
      <c r="B808" t="str">
        <f t="shared" ref="B808:B836" si="315">CLEAN("21")</f>
        <v>21</v>
      </c>
      <c r="C808" s="1">
        <v>45944</v>
      </c>
      <c r="D808" t="str">
        <f t="shared" si="311"/>
        <v>6145-01-74</v>
      </c>
      <c r="E808" t="str">
        <f t="shared" ref="E808:E839" si="316">CLEAN("303  ")</f>
        <v xml:space="preserve">303  </v>
      </c>
      <c r="F808" t="str">
        <f t="shared" si="312"/>
        <v xml:space="preserve">$8,000,000 - $8,999,999  </v>
      </c>
      <c r="G808" t="str">
        <f t="shared" si="299"/>
        <v>LET</v>
      </c>
      <c r="H808" t="str">
        <f t="shared" si="300"/>
        <v xml:space="preserve">LET CONSTRUCTION         </v>
      </c>
      <c r="I808" t="str">
        <f t="shared" si="313"/>
        <v xml:space="preserve">CONSTRUCTION/ PVRPLA               </v>
      </c>
      <c r="J808" t="str">
        <f t="shared" si="302"/>
        <v>USH 012</v>
      </c>
      <c r="K808" t="str">
        <f t="shared" si="303"/>
        <v xml:space="preserve">SAUK                          </v>
      </c>
      <c r="L808" t="str">
        <f t="shared" si="304"/>
        <v xml:space="preserve">WISCONSIN DELLS - BARABOO          </v>
      </c>
      <c r="M808" t="str">
        <f t="shared" si="314"/>
        <v xml:space="preserve">STH 13 TO CTH A                    </v>
      </c>
      <c r="N808">
        <v>0.53600000000000003</v>
      </c>
      <c r="O808" t="str">
        <f>CLEAN("6130-01-72")</f>
        <v>6130-01-72</v>
      </c>
      <c r="P808" t="str">
        <f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809" spans="1:16" x14ac:dyDescent="0.25">
      <c r="A809" t="str">
        <f t="shared" si="306"/>
        <v>10</v>
      </c>
      <c r="B809" t="str">
        <f t="shared" si="315"/>
        <v>21</v>
      </c>
      <c r="C809" s="1">
        <v>45944</v>
      </c>
      <c r="D809" t="str">
        <f t="shared" si="311"/>
        <v>6145-01-74</v>
      </c>
      <c r="E809" t="str">
        <f t="shared" si="316"/>
        <v xml:space="preserve">303  </v>
      </c>
      <c r="F809" t="str">
        <f t="shared" si="312"/>
        <v xml:space="preserve">$8,000,000 - $8,999,999  </v>
      </c>
      <c r="G809" t="str">
        <f t="shared" si="299"/>
        <v>LET</v>
      </c>
      <c r="H809" t="str">
        <f t="shared" si="300"/>
        <v xml:space="preserve">LET CONSTRUCTION         </v>
      </c>
      <c r="I809" t="str">
        <f t="shared" si="313"/>
        <v xml:space="preserve">CONSTRUCTION/ PVRPLA               </v>
      </c>
      <c r="J809" t="str">
        <f t="shared" si="302"/>
        <v>USH 012</v>
      </c>
      <c r="K809" t="str">
        <f t="shared" si="303"/>
        <v xml:space="preserve">SAUK                          </v>
      </c>
      <c r="L809" t="str">
        <f t="shared" si="304"/>
        <v xml:space="preserve">WISCONSIN DELLS - BARABOO          </v>
      </c>
      <c r="M809" t="str">
        <f t="shared" si="314"/>
        <v xml:space="preserve">STH 13 TO CTH A                    </v>
      </c>
      <c r="N809">
        <v>0.53600000000000003</v>
      </c>
      <c r="O809" t="str">
        <f>CLEAN("6145-01-72")</f>
        <v>6145-01-72</v>
      </c>
      <c r="P809" t="str">
        <f>CLEAN("SAFETY (REGULAR HSIP)                                                                               ")</f>
        <v xml:space="preserve">SAFETY (REGULAR HSIP)                                                                               </v>
      </c>
    </row>
    <row r="810" spans="1:16" x14ac:dyDescent="0.25">
      <c r="A810" t="str">
        <f t="shared" si="306"/>
        <v>10</v>
      </c>
      <c r="B810" t="str">
        <f t="shared" si="315"/>
        <v>21</v>
      </c>
      <c r="C810" s="1">
        <v>45944</v>
      </c>
      <c r="D810" t="str">
        <f t="shared" si="311"/>
        <v>6145-01-74</v>
      </c>
      <c r="E810" t="str">
        <f t="shared" si="316"/>
        <v xml:space="preserve">303  </v>
      </c>
      <c r="F810" t="str">
        <f t="shared" si="312"/>
        <v xml:space="preserve">$8,000,000 - $8,999,999  </v>
      </c>
      <c r="G810" t="str">
        <f t="shared" si="299"/>
        <v>LET</v>
      </c>
      <c r="H810" t="str">
        <f t="shared" si="300"/>
        <v xml:space="preserve">LET CONSTRUCTION         </v>
      </c>
      <c r="I810" t="str">
        <f t="shared" si="313"/>
        <v xml:space="preserve">CONSTRUCTION/ PVRPLA               </v>
      </c>
      <c r="J810" t="str">
        <f t="shared" si="302"/>
        <v>USH 012</v>
      </c>
      <c r="K810" t="str">
        <f t="shared" si="303"/>
        <v xml:space="preserve">SAUK                          </v>
      </c>
      <c r="L810" t="str">
        <f t="shared" si="304"/>
        <v xml:space="preserve">WISCONSIN DELLS - BARABOO          </v>
      </c>
      <c r="M810" t="str">
        <f t="shared" si="314"/>
        <v xml:space="preserve">STH 13 TO CTH A                    </v>
      </c>
      <c r="N810">
        <v>0.53600000000000003</v>
      </c>
      <c r="O810" t="str">
        <f>CLEAN("6145-01-72")</f>
        <v>6145-01-72</v>
      </c>
      <c r="P810" t="str">
        <f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811" spans="1:16" x14ac:dyDescent="0.25">
      <c r="A811" t="str">
        <f t="shared" si="306"/>
        <v>10</v>
      </c>
      <c r="B811" t="str">
        <f t="shared" si="315"/>
        <v>21</v>
      </c>
      <c r="C811" s="1">
        <v>45944</v>
      </c>
      <c r="D811" t="str">
        <f t="shared" si="311"/>
        <v>6145-01-74</v>
      </c>
      <c r="E811" t="str">
        <f t="shared" si="316"/>
        <v xml:space="preserve">303  </v>
      </c>
      <c r="F811" t="str">
        <f t="shared" si="312"/>
        <v xml:space="preserve">$8,000,000 - $8,999,999  </v>
      </c>
      <c r="G811" t="str">
        <f t="shared" si="299"/>
        <v>LET</v>
      </c>
      <c r="H811" t="str">
        <f t="shared" si="300"/>
        <v xml:space="preserve">LET CONSTRUCTION         </v>
      </c>
      <c r="I811" t="str">
        <f t="shared" si="313"/>
        <v xml:space="preserve">CONSTRUCTION/ PVRPLA               </v>
      </c>
      <c r="J811" t="str">
        <f t="shared" si="302"/>
        <v>USH 012</v>
      </c>
      <c r="K811" t="str">
        <f t="shared" si="303"/>
        <v xml:space="preserve">SAUK                          </v>
      </c>
      <c r="L811" t="str">
        <f t="shared" si="304"/>
        <v xml:space="preserve">WISCONSIN DELLS - BARABOO          </v>
      </c>
      <c r="M811" t="str">
        <f t="shared" si="314"/>
        <v xml:space="preserve">STH 13 TO CTH A                    </v>
      </c>
      <c r="N811">
        <v>0.53600000000000003</v>
      </c>
      <c r="O811" t="str">
        <f>CLEAN("6145-01-73")</f>
        <v>6145-01-73</v>
      </c>
      <c r="P811" t="str">
        <f>CLEAN("SAFETY (REGULAR HSIP)                                                                               ")</f>
        <v xml:space="preserve">SAFETY (REGULAR HSIP)                                                                               </v>
      </c>
    </row>
    <row r="812" spans="1:16" x14ac:dyDescent="0.25">
      <c r="A812" t="str">
        <f t="shared" si="306"/>
        <v>10</v>
      </c>
      <c r="B812" t="str">
        <f t="shared" si="315"/>
        <v>21</v>
      </c>
      <c r="C812" s="1">
        <v>45944</v>
      </c>
      <c r="D812" t="str">
        <f t="shared" si="311"/>
        <v>6145-01-74</v>
      </c>
      <c r="E812" t="str">
        <f t="shared" si="316"/>
        <v xml:space="preserve">303  </v>
      </c>
      <c r="F812" t="str">
        <f t="shared" si="312"/>
        <v xml:space="preserve">$8,000,000 - $8,999,999  </v>
      </c>
      <c r="G812" t="str">
        <f t="shared" si="299"/>
        <v>LET</v>
      </c>
      <c r="H812" t="str">
        <f t="shared" si="300"/>
        <v xml:space="preserve">LET CONSTRUCTION         </v>
      </c>
      <c r="I812" t="str">
        <f t="shared" si="313"/>
        <v xml:space="preserve">CONSTRUCTION/ PVRPLA               </v>
      </c>
      <c r="J812" t="str">
        <f t="shared" si="302"/>
        <v>USH 012</v>
      </c>
      <c r="K812" t="str">
        <f t="shared" si="303"/>
        <v xml:space="preserve">SAUK                          </v>
      </c>
      <c r="L812" t="str">
        <f t="shared" si="304"/>
        <v xml:space="preserve">WISCONSIN DELLS - BARABOO          </v>
      </c>
      <c r="M812" t="str">
        <f t="shared" si="314"/>
        <v xml:space="preserve">STH 13 TO CTH A                    </v>
      </c>
      <c r="N812">
        <v>0.53600000000000003</v>
      </c>
      <c r="O812" t="str">
        <f>CLEAN("6145-01-73")</f>
        <v>6145-01-73</v>
      </c>
      <c r="P812" t="str">
        <f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813" spans="1:16" x14ac:dyDescent="0.25">
      <c r="A813" t="str">
        <f t="shared" si="306"/>
        <v>10</v>
      </c>
      <c r="B813" t="str">
        <f t="shared" si="315"/>
        <v>21</v>
      </c>
      <c r="C813" s="1">
        <v>45944</v>
      </c>
      <c r="D813" t="str">
        <f t="shared" si="311"/>
        <v>6145-01-74</v>
      </c>
      <c r="E813" t="str">
        <f t="shared" si="316"/>
        <v xml:space="preserve">303  </v>
      </c>
      <c r="F813" t="str">
        <f t="shared" si="312"/>
        <v xml:space="preserve">$8,000,000 - $8,999,999  </v>
      </c>
      <c r="G813" t="str">
        <f t="shared" si="299"/>
        <v>LET</v>
      </c>
      <c r="H813" t="str">
        <f t="shared" si="300"/>
        <v xml:space="preserve">LET CONSTRUCTION         </v>
      </c>
      <c r="I813" t="str">
        <f t="shared" si="313"/>
        <v xml:space="preserve">CONSTRUCTION/ PVRPLA               </v>
      </c>
      <c r="J813" t="str">
        <f t="shared" si="302"/>
        <v>USH 012</v>
      </c>
      <c r="K813" t="str">
        <f t="shared" si="303"/>
        <v xml:space="preserve">SAUK                          </v>
      </c>
      <c r="L813" t="str">
        <f t="shared" si="304"/>
        <v xml:space="preserve">WISCONSIN DELLS - BARABOO          </v>
      </c>
      <c r="M813" t="str">
        <f t="shared" si="314"/>
        <v xml:space="preserve">STH 13 TO CTH A                    </v>
      </c>
      <c r="N813">
        <v>0.53600000000000003</v>
      </c>
      <c r="O813" t="str">
        <f>CLEAN("6145-01-82")</f>
        <v>6145-01-82</v>
      </c>
      <c r="P813" t="str">
        <f>CLEAN("SAFETY (REGULAR HSIP)                                                                               ")</f>
        <v xml:space="preserve">SAFETY (REGULAR HSIP)                                                                               </v>
      </c>
    </row>
    <row r="814" spans="1:16" x14ac:dyDescent="0.25">
      <c r="A814" t="str">
        <f t="shared" si="306"/>
        <v>10</v>
      </c>
      <c r="B814" t="str">
        <f t="shared" si="315"/>
        <v>21</v>
      </c>
      <c r="C814" s="1">
        <v>45944</v>
      </c>
      <c r="D814" t="str">
        <f t="shared" si="311"/>
        <v>6145-01-74</v>
      </c>
      <c r="E814" t="str">
        <f t="shared" si="316"/>
        <v xml:space="preserve">303  </v>
      </c>
      <c r="F814" t="str">
        <f t="shared" si="312"/>
        <v xml:space="preserve">$8,000,000 - $8,999,999  </v>
      </c>
      <c r="G814" t="str">
        <f t="shared" si="299"/>
        <v>LET</v>
      </c>
      <c r="H814" t="str">
        <f t="shared" si="300"/>
        <v xml:space="preserve">LET CONSTRUCTION         </v>
      </c>
      <c r="I814" t="str">
        <f t="shared" si="313"/>
        <v xml:space="preserve">CONSTRUCTION/ PVRPLA               </v>
      </c>
      <c r="J814" t="str">
        <f t="shared" si="302"/>
        <v>USH 012</v>
      </c>
      <c r="K814" t="str">
        <f t="shared" si="303"/>
        <v xml:space="preserve">SAUK                          </v>
      </c>
      <c r="L814" t="str">
        <f t="shared" si="304"/>
        <v xml:space="preserve">WISCONSIN DELLS - BARABOO          </v>
      </c>
      <c r="M814" t="str">
        <f t="shared" si="314"/>
        <v xml:space="preserve">STH 13 TO CTH A                    </v>
      </c>
      <c r="N814">
        <v>0.53600000000000003</v>
      </c>
      <c r="O814" t="str">
        <f>CLEAN("6145-01-82")</f>
        <v>6145-01-82</v>
      </c>
      <c r="P814" t="str">
        <f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815" spans="1:16" x14ac:dyDescent="0.25">
      <c r="A815" t="str">
        <f t="shared" si="306"/>
        <v>10</v>
      </c>
      <c r="B815" t="str">
        <f t="shared" si="315"/>
        <v>21</v>
      </c>
      <c r="C815" s="1">
        <v>45944</v>
      </c>
      <c r="D815" t="str">
        <f t="shared" si="311"/>
        <v>6145-01-74</v>
      </c>
      <c r="E815" t="str">
        <f t="shared" si="316"/>
        <v xml:space="preserve">303  </v>
      </c>
      <c r="F815" t="str">
        <f t="shared" si="312"/>
        <v xml:space="preserve">$8,000,000 - $8,999,999  </v>
      </c>
      <c r="G815" t="str">
        <f t="shared" ref="G815:G851" si="317">CLEAN("LET")</f>
        <v>LET</v>
      </c>
      <c r="H815" t="str">
        <f t="shared" ref="H815:H851" si="318">CLEAN("LET CONSTRUCTION         ")</f>
        <v xml:space="preserve">LET CONSTRUCTION         </v>
      </c>
      <c r="I815" t="str">
        <f t="shared" si="313"/>
        <v xml:space="preserve">CONSTRUCTION/ PVRPLA               </v>
      </c>
      <c r="J815" t="str">
        <f t="shared" ref="J815:J836" si="319">CLEAN("USH 012")</f>
        <v>USH 012</v>
      </c>
      <c r="K815" t="str">
        <f t="shared" ref="K815:K836" si="320">CLEAN("SAUK                          ")</f>
        <v xml:space="preserve">SAUK                          </v>
      </c>
      <c r="L815" t="str">
        <f t="shared" ref="L815:L836" si="321">CLEAN("WISCONSIN DELLS - BARABOO          ")</f>
        <v xml:space="preserve">WISCONSIN DELLS - BARABOO          </v>
      </c>
      <c r="M815" t="str">
        <f t="shared" si="314"/>
        <v xml:space="preserve">STH 13 TO CTH A                    </v>
      </c>
      <c r="N815">
        <v>0.53600000000000003</v>
      </c>
      <c r="O815" t="str">
        <f>CLEAN("6145-01-83")</f>
        <v>6145-01-83</v>
      </c>
      <c r="P815" t="str">
        <f>CLEAN("SAFETY (REGULAR HSIP)                                                                               ")</f>
        <v xml:space="preserve">SAFETY (REGULAR HSIP)                                                                               </v>
      </c>
    </row>
    <row r="816" spans="1:16" x14ac:dyDescent="0.25">
      <c r="A816" t="str">
        <f t="shared" si="306"/>
        <v>10</v>
      </c>
      <c r="B816" t="str">
        <f t="shared" si="315"/>
        <v>21</v>
      </c>
      <c r="C816" s="1">
        <v>45944</v>
      </c>
      <c r="D816" t="str">
        <f t="shared" si="311"/>
        <v>6145-01-74</v>
      </c>
      <c r="E816" t="str">
        <f t="shared" si="316"/>
        <v xml:space="preserve">303  </v>
      </c>
      <c r="F816" t="str">
        <f t="shared" si="312"/>
        <v xml:space="preserve">$8,000,000 - $8,999,999  </v>
      </c>
      <c r="G816" t="str">
        <f t="shared" si="317"/>
        <v>LET</v>
      </c>
      <c r="H816" t="str">
        <f t="shared" si="318"/>
        <v xml:space="preserve">LET CONSTRUCTION         </v>
      </c>
      <c r="I816" t="str">
        <f t="shared" si="313"/>
        <v xml:space="preserve">CONSTRUCTION/ PVRPLA               </v>
      </c>
      <c r="J816" t="str">
        <f t="shared" si="319"/>
        <v>USH 012</v>
      </c>
      <c r="K816" t="str">
        <f t="shared" si="320"/>
        <v xml:space="preserve">SAUK                          </v>
      </c>
      <c r="L816" t="str">
        <f t="shared" si="321"/>
        <v xml:space="preserve">WISCONSIN DELLS - BARABOO          </v>
      </c>
      <c r="M816" t="str">
        <f t="shared" si="314"/>
        <v xml:space="preserve">STH 13 TO CTH A                    </v>
      </c>
      <c r="N816">
        <v>0.53600000000000003</v>
      </c>
      <c r="O816" t="str">
        <f>CLEAN("6145-01-83")</f>
        <v>6145-01-83</v>
      </c>
      <c r="P816" t="str">
        <f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817" spans="1:16" x14ac:dyDescent="0.25">
      <c r="A817" t="str">
        <f t="shared" si="306"/>
        <v>10</v>
      </c>
      <c r="B817" t="str">
        <f t="shared" si="315"/>
        <v>21</v>
      </c>
      <c r="C817" s="1">
        <v>45944</v>
      </c>
      <c r="D817" t="str">
        <f t="shared" si="311"/>
        <v>6145-01-74</v>
      </c>
      <c r="E817" t="str">
        <f t="shared" si="316"/>
        <v xml:space="preserve">303  </v>
      </c>
      <c r="F817" t="str">
        <f t="shared" si="312"/>
        <v xml:space="preserve">$8,000,000 - $8,999,999  </v>
      </c>
      <c r="G817" t="str">
        <f t="shared" si="317"/>
        <v>LET</v>
      </c>
      <c r="H817" t="str">
        <f t="shared" si="318"/>
        <v xml:space="preserve">LET CONSTRUCTION         </v>
      </c>
      <c r="I817" t="str">
        <f t="shared" si="313"/>
        <v xml:space="preserve">CONSTRUCTION/ PVRPLA               </v>
      </c>
      <c r="J817" t="str">
        <f t="shared" si="319"/>
        <v>USH 012</v>
      </c>
      <c r="K817" t="str">
        <f t="shared" si="320"/>
        <v xml:space="preserve">SAUK                          </v>
      </c>
      <c r="L817" t="str">
        <f t="shared" si="321"/>
        <v xml:space="preserve">WISCONSIN DELLS - BARABOO          </v>
      </c>
      <c r="M817" t="str">
        <f t="shared" si="314"/>
        <v xml:space="preserve">STH 13 TO CTH A                    </v>
      </c>
      <c r="N817">
        <v>0.53600000000000003</v>
      </c>
      <c r="O817" t="str">
        <f>CLEAN("6145-01-84")</f>
        <v>6145-01-84</v>
      </c>
      <c r="P817" t="str">
        <f>CLEAN("SAFETY (REGULAR HSIP)                                                                               ")</f>
        <v xml:space="preserve">SAFETY (REGULAR HSIP)                                                                               </v>
      </c>
    </row>
    <row r="818" spans="1:16" x14ac:dyDescent="0.25">
      <c r="A818" t="str">
        <f t="shared" si="306"/>
        <v>10</v>
      </c>
      <c r="B818" t="str">
        <f t="shared" si="315"/>
        <v>21</v>
      </c>
      <c r="C818" s="1">
        <v>45944</v>
      </c>
      <c r="D818" t="str">
        <f t="shared" si="311"/>
        <v>6145-01-74</v>
      </c>
      <c r="E818" t="str">
        <f t="shared" si="316"/>
        <v xml:space="preserve">303  </v>
      </c>
      <c r="F818" t="str">
        <f t="shared" si="312"/>
        <v xml:space="preserve">$8,000,000 - $8,999,999  </v>
      </c>
      <c r="G818" t="str">
        <f t="shared" si="317"/>
        <v>LET</v>
      </c>
      <c r="H818" t="str">
        <f t="shared" si="318"/>
        <v xml:space="preserve">LET CONSTRUCTION         </v>
      </c>
      <c r="I818" t="str">
        <f t="shared" si="313"/>
        <v xml:space="preserve">CONSTRUCTION/ PVRPLA               </v>
      </c>
      <c r="J818" t="str">
        <f t="shared" si="319"/>
        <v>USH 012</v>
      </c>
      <c r="K818" t="str">
        <f t="shared" si="320"/>
        <v xml:space="preserve">SAUK                          </v>
      </c>
      <c r="L818" t="str">
        <f t="shared" si="321"/>
        <v xml:space="preserve">WISCONSIN DELLS - BARABOO          </v>
      </c>
      <c r="M818" t="str">
        <f t="shared" si="314"/>
        <v xml:space="preserve">STH 13 TO CTH A                    </v>
      </c>
      <c r="N818">
        <v>0.53600000000000003</v>
      </c>
      <c r="O818" t="str">
        <f>CLEAN("6145-01-84")</f>
        <v>6145-01-84</v>
      </c>
      <c r="P818" t="str">
        <f t="shared" ref="P818:P839" si="322"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819" spans="1:16" x14ac:dyDescent="0.25">
      <c r="A819" t="str">
        <f t="shared" si="306"/>
        <v>10</v>
      </c>
      <c r="B819" t="str">
        <f t="shared" si="315"/>
        <v>21</v>
      </c>
      <c r="C819" s="1">
        <v>45944</v>
      </c>
      <c r="D819" t="str">
        <f t="shared" ref="D819:D824" si="323">CLEAN("6145-01-82")</f>
        <v>6145-01-82</v>
      </c>
      <c r="E819" t="str">
        <f t="shared" si="316"/>
        <v xml:space="preserve">303  </v>
      </c>
      <c r="F819" t="str">
        <f t="shared" ref="F819:F824" si="324">CLEAN("$500,000 - $749,999      ")</f>
        <v xml:space="preserve">$500,000 - $749,999      </v>
      </c>
      <c r="G819" t="str">
        <f t="shared" si="317"/>
        <v>LET</v>
      </c>
      <c r="H819" t="str">
        <f t="shared" si="318"/>
        <v xml:space="preserve">LET CONSTRUCTION         </v>
      </c>
      <c r="I819" t="str">
        <f t="shared" ref="I819:I824" si="325">CLEAN("CONAT/SEWER &amp; WATER/PVRPLA         ")</f>
        <v xml:space="preserve">CONAT/SEWER &amp; WATER/PVRPLA         </v>
      </c>
      <c r="J819" t="str">
        <f t="shared" si="319"/>
        <v>USH 012</v>
      </c>
      <c r="K819" t="str">
        <f t="shared" si="320"/>
        <v xml:space="preserve">SAUK                          </v>
      </c>
      <c r="L819" t="str">
        <f t="shared" si="321"/>
        <v xml:space="preserve">WISCONSIN DELLS - BARABOO          </v>
      </c>
      <c r="M819" t="str">
        <f t="shared" ref="M819:M824" si="326">CLEAN("CTH A TO PILGRIM DRIVE             ")</f>
        <v xml:space="preserve">CTH A TO PILGRIM DRIVE             </v>
      </c>
      <c r="N819">
        <v>1.032</v>
      </c>
      <c r="O819" t="str">
        <f>CLEAN("6130-01-72")</f>
        <v>6130-01-72</v>
      </c>
      <c r="P819" t="str">
        <f t="shared" si="322"/>
        <v xml:space="preserve">STATE 3R                                                                                            </v>
      </c>
    </row>
    <row r="820" spans="1:16" x14ac:dyDescent="0.25">
      <c r="A820" t="str">
        <f t="shared" si="306"/>
        <v>10</v>
      </c>
      <c r="B820" t="str">
        <f t="shared" si="315"/>
        <v>21</v>
      </c>
      <c r="C820" s="1">
        <v>45944</v>
      </c>
      <c r="D820" t="str">
        <f t="shared" si="323"/>
        <v>6145-01-82</v>
      </c>
      <c r="E820" t="str">
        <f t="shared" si="316"/>
        <v xml:space="preserve">303  </v>
      </c>
      <c r="F820" t="str">
        <f t="shared" si="324"/>
        <v xml:space="preserve">$500,000 - $749,999      </v>
      </c>
      <c r="G820" t="str">
        <f t="shared" si="317"/>
        <v>LET</v>
      </c>
      <c r="H820" t="str">
        <f t="shared" si="318"/>
        <v xml:space="preserve">LET CONSTRUCTION         </v>
      </c>
      <c r="I820" t="str">
        <f t="shared" si="325"/>
        <v xml:space="preserve">CONAT/SEWER &amp; WATER/PVRPLA         </v>
      </c>
      <c r="J820" t="str">
        <f t="shared" si="319"/>
        <v>USH 012</v>
      </c>
      <c r="K820" t="str">
        <f t="shared" si="320"/>
        <v xml:space="preserve">SAUK                          </v>
      </c>
      <c r="L820" t="str">
        <f t="shared" si="321"/>
        <v xml:space="preserve">WISCONSIN DELLS - BARABOO          </v>
      </c>
      <c r="M820" t="str">
        <f t="shared" si="326"/>
        <v xml:space="preserve">CTH A TO PILGRIM DRIVE             </v>
      </c>
      <c r="N820">
        <v>1.032</v>
      </c>
      <c r="O820" t="str">
        <f>CLEAN("6145-01-72")</f>
        <v>6145-01-72</v>
      </c>
      <c r="P820" t="str">
        <f t="shared" si="322"/>
        <v xml:space="preserve">STATE 3R                                                                                            </v>
      </c>
    </row>
    <row r="821" spans="1:16" x14ac:dyDescent="0.25">
      <c r="A821" t="str">
        <f t="shared" si="306"/>
        <v>10</v>
      </c>
      <c r="B821" t="str">
        <f t="shared" si="315"/>
        <v>21</v>
      </c>
      <c r="C821" s="1">
        <v>45944</v>
      </c>
      <c r="D821" t="str">
        <f t="shared" si="323"/>
        <v>6145-01-82</v>
      </c>
      <c r="E821" t="str">
        <f t="shared" si="316"/>
        <v xml:space="preserve">303  </v>
      </c>
      <c r="F821" t="str">
        <f t="shared" si="324"/>
        <v xml:space="preserve">$500,000 - $749,999      </v>
      </c>
      <c r="G821" t="str">
        <f t="shared" si="317"/>
        <v>LET</v>
      </c>
      <c r="H821" t="str">
        <f t="shared" si="318"/>
        <v xml:space="preserve">LET CONSTRUCTION         </v>
      </c>
      <c r="I821" t="str">
        <f t="shared" si="325"/>
        <v xml:space="preserve">CONAT/SEWER &amp; WATER/PVRPLA         </v>
      </c>
      <c r="J821" t="str">
        <f t="shared" si="319"/>
        <v>USH 012</v>
      </c>
      <c r="K821" t="str">
        <f t="shared" si="320"/>
        <v xml:space="preserve">SAUK                          </v>
      </c>
      <c r="L821" t="str">
        <f t="shared" si="321"/>
        <v xml:space="preserve">WISCONSIN DELLS - BARABOO          </v>
      </c>
      <c r="M821" t="str">
        <f t="shared" si="326"/>
        <v xml:space="preserve">CTH A TO PILGRIM DRIVE             </v>
      </c>
      <c r="N821">
        <v>1.032</v>
      </c>
      <c r="O821" t="str">
        <f>CLEAN("6145-01-73")</f>
        <v>6145-01-73</v>
      </c>
      <c r="P821" t="str">
        <f t="shared" si="322"/>
        <v xml:space="preserve">STATE 3R                                                                                            </v>
      </c>
    </row>
    <row r="822" spans="1:16" x14ac:dyDescent="0.25">
      <c r="A822" t="str">
        <f t="shared" si="306"/>
        <v>10</v>
      </c>
      <c r="B822" t="str">
        <f t="shared" si="315"/>
        <v>21</v>
      </c>
      <c r="C822" s="1">
        <v>45944</v>
      </c>
      <c r="D822" t="str">
        <f t="shared" si="323"/>
        <v>6145-01-82</v>
      </c>
      <c r="E822" t="str">
        <f t="shared" si="316"/>
        <v xml:space="preserve">303  </v>
      </c>
      <c r="F822" t="str">
        <f t="shared" si="324"/>
        <v xml:space="preserve">$500,000 - $749,999      </v>
      </c>
      <c r="G822" t="str">
        <f t="shared" si="317"/>
        <v>LET</v>
      </c>
      <c r="H822" t="str">
        <f t="shared" si="318"/>
        <v xml:space="preserve">LET CONSTRUCTION         </v>
      </c>
      <c r="I822" t="str">
        <f t="shared" si="325"/>
        <v xml:space="preserve">CONAT/SEWER &amp; WATER/PVRPLA         </v>
      </c>
      <c r="J822" t="str">
        <f t="shared" si="319"/>
        <v>USH 012</v>
      </c>
      <c r="K822" t="str">
        <f t="shared" si="320"/>
        <v xml:space="preserve">SAUK                          </v>
      </c>
      <c r="L822" t="str">
        <f t="shared" si="321"/>
        <v xml:space="preserve">WISCONSIN DELLS - BARABOO          </v>
      </c>
      <c r="M822" t="str">
        <f t="shared" si="326"/>
        <v xml:space="preserve">CTH A TO PILGRIM DRIVE             </v>
      </c>
      <c r="N822">
        <v>1.032</v>
      </c>
      <c r="O822" t="str">
        <f>CLEAN("6145-01-74")</f>
        <v>6145-01-74</v>
      </c>
      <c r="P822" t="str">
        <f t="shared" si="322"/>
        <v xml:space="preserve">STATE 3R                                                                                            </v>
      </c>
    </row>
    <row r="823" spans="1:16" x14ac:dyDescent="0.25">
      <c r="A823" t="str">
        <f t="shared" si="306"/>
        <v>10</v>
      </c>
      <c r="B823" t="str">
        <f t="shared" si="315"/>
        <v>21</v>
      </c>
      <c r="C823" s="1">
        <v>45944</v>
      </c>
      <c r="D823" t="str">
        <f t="shared" si="323"/>
        <v>6145-01-82</v>
      </c>
      <c r="E823" t="str">
        <f t="shared" si="316"/>
        <v xml:space="preserve">303  </v>
      </c>
      <c r="F823" t="str">
        <f t="shared" si="324"/>
        <v xml:space="preserve">$500,000 - $749,999      </v>
      </c>
      <c r="G823" t="str">
        <f t="shared" si="317"/>
        <v>LET</v>
      </c>
      <c r="H823" t="str">
        <f t="shared" si="318"/>
        <v xml:space="preserve">LET CONSTRUCTION         </v>
      </c>
      <c r="I823" t="str">
        <f t="shared" si="325"/>
        <v xml:space="preserve">CONAT/SEWER &amp; WATER/PVRPLA         </v>
      </c>
      <c r="J823" t="str">
        <f t="shared" si="319"/>
        <v>USH 012</v>
      </c>
      <c r="K823" t="str">
        <f t="shared" si="320"/>
        <v xml:space="preserve">SAUK                          </v>
      </c>
      <c r="L823" t="str">
        <f t="shared" si="321"/>
        <v xml:space="preserve">WISCONSIN DELLS - BARABOO          </v>
      </c>
      <c r="M823" t="str">
        <f t="shared" si="326"/>
        <v xml:space="preserve">CTH A TO PILGRIM DRIVE             </v>
      </c>
      <c r="N823">
        <v>1.032</v>
      </c>
      <c r="O823" t="str">
        <f>CLEAN("6145-01-83")</f>
        <v>6145-01-83</v>
      </c>
      <c r="P823" t="str">
        <f t="shared" si="322"/>
        <v xml:space="preserve">STATE 3R                                                                                            </v>
      </c>
    </row>
    <row r="824" spans="1:16" x14ac:dyDescent="0.25">
      <c r="A824" t="str">
        <f t="shared" si="306"/>
        <v>10</v>
      </c>
      <c r="B824" t="str">
        <f t="shared" si="315"/>
        <v>21</v>
      </c>
      <c r="C824" s="1">
        <v>45944</v>
      </c>
      <c r="D824" t="str">
        <f t="shared" si="323"/>
        <v>6145-01-82</v>
      </c>
      <c r="E824" t="str">
        <f t="shared" si="316"/>
        <v xml:space="preserve">303  </v>
      </c>
      <c r="F824" t="str">
        <f t="shared" si="324"/>
        <v xml:space="preserve">$500,000 - $749,999      </v>
      </c>
      <c r="G824" t="str">
        <f t="shared" si="317"/>
        <v>LET</v>
      </c>
      <c r="H824" t="str">
        <f t="shared" si="318"/>
        <v xml:space="preserve">LET CONSTRUCTION         </v>
      </c>
      <c r="I824" t="str">
        <f t="shared" si="325"/>
        <v xml:space="preserve">CONAT/SEWER &amp; WATER/PVRPLA         </v>
      </c>
      <c r="J824" t="str">
        <f t="shared" si="319"/>
        <v>USH 012</v>
      </c>
      <c r="K824" t="str">
        <f t="shared" si="320"/>
        <v xml:space="preserve">SAUK                          </v>
      </c>
      <c r="L824" t="str">
        <f t="shared" si="321"/>
        <v xml:space="preserve">WISCONSIN DELLS - BARABOO          </v>
      </c>
      <c r="M824" t="str">
        <f t="shared" si="326"/>
        <v xml:space="preserve">CTH A TO PILGRIM DRIVE             </v>
      </c>
      <c r="N824">
        <v>1.032</v>
      </c>
      <c r="O824" t="str">
        <f>CLEAN("6145-01-84")</f>
        <v>6145-01-84</v>
      </c>
      <c r="P824" t="str">
        <f t="shared" si="322"/>
        <v xml:space="preserve">STATE 3R                                                                                            </v>
      </c>
    </row>
    <row r="825" spans="1:16" x14ac:dyDescent="0.25">
      <c r="A825" t="str">
        <f t="shared" si="306"/>
        <v>10</v>
      </c>
      <c r="B825" t="str">
        <f t="shared" si="315"/>
        <v>21</v>
      </c>
      <c r="C825" s="1">
        <v>45944</v>
      </c>
      <c r="D825" t="str">
        <f t="shared" ref="D825:D830" si="327">CLEAN("6145-01-83")</f>
        <v>6145-01-83</v>
      </c>
      <c r="E825" t="str">
        <f t="shared" si="316"/>
        <v xml:space="preserve">303  </v>
      </c>
      <c r="F825" t="str">
        <f t="shared" ref="F825:F830" si="328">CLEAN("$1,000,000 - $1,999,999  ")</f>
        <v xml:space="preserve">$1,000,000 - $1,999,999  </v>
      </c>
      <c r="G825" t="str">
        <f t="shared" si="317"/>
        <v>LET</v>
      </c>
      <c r="H825" t="str">
        <f t="shared" si="318"/>
        <v xml:space="preserve">LET CONSTRUCTION         </v>
      </c>
      <c r="I825" t="str">
        <f t="shared" ref="I825:I836" si="329">CLEAN("CONST/SEWER &amp; WATER/PVRPLA         ")</f>
        <v xml:space="preserve">CONST/SEWER &amp; WATER/PVRPLA         </v>
      </c>
      <c r="J825" t="str">
        <f t="shared" si="319"/>
        <v>USH 012</v>
      </c>
      <c r="K825" t="str">
        <f t="shared" si="320"/>
        <v xml:space="preserve">SAUK                          </v>
      </c>
      <c r="L825" t="str">
        <f t="shared" si="321"/>
        <v xml:space="preserve">WISCONSIN DELLS - BARABOO          </v>
      </c>
      <c r="M825" t="str">
        <f t="shared" ref="M825:M830" si="330">CLEAN("PILGRIM DRIVE TO E ADAMS ST        ")</f>
        <v xml:space="preserve">PILGRIM DRIVE TO E ADAMS ST        </v>
      </c>
      <c r="N825">
        <v>0.98299999999999998</v>
      </c>
      <c r="O825" t="str">
        <f>CLEAN("6130-01-72")</f>
        <v>6130-01-72</v>
      </c>
      <c r="P825" t="str">
        <f t="shared" si="322"/>
        <v xml:space="preserve">STATE 3R                                                                                            </v>
      </c>
    </row>
    <row r="826" spans="1:16" x14ac:dyDescent="0.25">
      <c r="A826" t="str">
        <f t="shared" si="306"/>
        <v>10</v>
      </c>
      <c r="B826" t="str">
        <f t="shared" si="315"/>
        <v>21</v>
      </c>
      <c r="C826" s="1">
        <v>45944</v>
      </c>
      <c r="D826" t="str">
        <f t="shared" si="327"/>
        <v>6145-01-83</v>
      </c>
      <c r="E826" t="str">
        <f t="shared" si="316"/>
        <v xml:space="preserve">303  </v>
      </c>
      <c r="F826" t="str">
        <f t="shared" si="328"/>
        <v xml:space="preserve">$1,000,000 - $1,999,999  </v>
      </c>
      <c r="G826" t="str">
        <f t="shared" si="317"/>
        <v>LET</v>
      </c>
      <c r="H826" t="str">
        <f t="shared" si="318"/>
        <v xml:space="preserve">LET CONSTRUCTION         </v>
      </c>
      <c r="I826" t="str">
        <f t="shared" si="329"/>
        <v xml:space="preserve">CONST/SEWER &amp; WATER/PVRPLA         </v>
      </c>
      <c r="J826" t="str">
        <f t="shared" si="319"/>
        <v>USH 012</v>
      </c>
      <c r="K826" t="str">
        <f t="shared" si="320"/>
        <v xml:space="preserve">SAUK                          </v>
      </c>
      <c r="L826" t="str">
        <f t="shared" si="321"/>
        <v xml:space="preserve">WISCONSIN DELLS - BARABOO          </v>
      </c>
      <c r="M826" t="str">
        <f t="shared" si="330"/>
        <v xml:space="preserve">PILGRIM DRIVE TO E ADAMS ST        </v>
      </c>
      <c r="N826">
        <v>0.98299999999999998</v>
      </c>
      <c r="O826" t="str">
        <f>CLEAN("6145-01-72")</f>
        <v>6145-01-72</v>
      </c>
      <c r="P826" t="str">
        <f t="shared" si="322"/>
        <v xml:space="preserve">STATE 3R                                                                                            </v>
      </c>
    </row>
    <row r="827" spans="1:16" x14ac:dyDescent="0.25">
      <c r="A827" t="str">
        <f t="shared" si="306"/>
        <v>10</v>
      </c>
      <c r="B827" t="str">
        <f t="shared" si="315"/>
        <v>21</v>
      </c>
      <c r="C827" s="1">
        <v>45944</v>
      </c>
      <c r="D827" t="str">
        <f t="shared" si="327"/>
        <v>6145-01-83</v>
      </c>
      <c r="E827" t="str">
        <f t="shared" si="316"/>
        <v xml:space="preserve">303  </v>
      </c>
      <c r="F827" t="str">
        <f t="shared" si="328"/>
        <v xml:space="preserve">$1,000,000 - $1,999,999  </v>
      </c>
      <c r="G827" t="str">
        <f t="shared" si="317"/>
        <v>LET</v>
      </c>
      <c r="H827" t="str">
        <f t="shared" si="318"/>
        <v xml:space="preserve">LET CONSTRUCTION         </v>
      </c>
      <c r="I827" t="str">
        <f t="shared" si="329"/>
        <v xml:space="preserve">CONST/SEWER &amp; WATER/PVRPLA         </v>
      </c>
      <c r="J827" t="str">
        <f t="shared" si="319"/>
        <v>USH 012</v>
      </c>
      <c r="K827" t="str">
        <f t="shared" si="320"/>
        <v xml:space="preserve">SAUK                          </v>
      </c>
      <c r="L827" t="str">
        <f t="shared" si="321"/>
        <v xml:space="preserve">WISCONSIN DELLS - BARABOO          </v>
      </c>
      <c r="M827" t="str">
        <f t="shared" si="330"/>
        <v xml:space="preserve">PILGRIM DRIVE TO E ADAMS ST        </v>
      </c>
      <c r="N827">
        <v>0.98299999999999998</v>
      </c>
      <c r="O827" t="str">
        <f>CLEAN("6145-01-73")</f>
        <v>6145-01-73</v>
      </c>
      <c r="P827" t="str">
        <f t="shared" si="322"/>
        <v xml:space="preserve">STATE 3R                                                                                            </v>
      </c>
    </row>
    <row r="828" spans="1:16" x14ac:dyDescent="0.25">
      <c r="A828" t="str">
        <f t="shared" si="306"/>
        <v>10</v>
      </c>
      <c r="B828" t="str">
        <f t="shared" si="315"/>
        <v>21</v>
      </c>
      <c r="C828" s="1">
        <v>45944</v>
      </c>
      <c r="D828" t="str">
        <f t="shared" si="327"/>
        <v>6145-01-83</v>
      </c>
      <c r="E828" t="str">
        <f t="shared" si="316"/>
        <v xml:space="preserve">303  </v>
      </c>
      <c r="F828" t="str">
        <f t="shared" si="328"/>
        <v xml:space="preserve">$1,000,000 - $1,999,999  </v>
      </c>
      <c r="G828" t="str">
        <f t="shared" si="317"/>
        <v>LET</v>
      </c>
      <c r="H828" t="str">
        <f t="shared" si="318"/>
        <v xml:space="preserve">LET CONSTRUCTION         </v>
      </c>
      <c r="I828" t="str">
        <f t="shared" si="329"/>
        <v xml:space="preserve">CONST/SEWER &amp; WATER/PVRPLA         </v>
      </c>
      <c r="J828" t="str">
        <f t="shared" si="319"/>
        <v>USH 012</v>
      </c>
      <c r="K828" t="str">
        <f t="shared" si="320"/>
        <v xml:space="preserve">SAUK                          </v>
      </c>
      <c r="L828" t="str">
        <f t="shared" si="321"/>
        <v xml:space="preserve">WISCONSIN DELLS - BARABOO          </v>
      </c>
      <c r="M828" t="str">
        <f t="shared" si="330"/>
        <v xml:space="preserve">PILGRIM DRIVE TO E ADAMS ST        </v>
      </c>
      <c r="N828">
        <v>0.98299999999999998</v>
      </c>
      <c r="O828" t="str">
        <f>CLEAN("6145-01-74")</f>
        <v>6145-01-74</v>
      </c>
      <c r="P828" t="str">
        <f t="shared" si="322"/>
        <v xml:space="preserve">STATE 3R                                                                                            </v>
      </c>
    </row>
    <row r="829" spans="1:16" x14ac:dyDescent="0.25">
      <c r="A829" t="str">
        <f t="shared" si="306"/>
        <v>10</v>
      </c>
      <c r="B829" t="str">
        <f t="shared" si="315"/>
        <v>21</v>
      </c>
      <c r="C829" s="1">
        <v>45944</v>
      </c>
      <c r="D829" t="str">
        <f t="shared" si="327"/>
        <v>6145-01-83</v>
      </c>
      <c r="E829" t="str">
        <f t="shared" si="316"/>
        <v xml:space="preserve">303  </v>
      </c>
      <c r="F829" t="str">
        <f t="shared" si="328"/>
        <v xml:space="preserve">$1,000,000 - $1,999,999  </v>
      </c>
      <c r="G829" t="str">
        <f t="shared" si="317"/>
        <v>LET</v>
      </c>
      <c r="H829" t="str">
        <f t="shared" si="318"/>
        <v xml:space="preserve">LET CONSTRUCTION         </v>
      </c>
      <c r="I829" t="str">
        <f t="shared" si="329"/>
        <v xml:space="preserve">CONST/SEWER &amp; WATER/PVRPLA         </v>
      </c>
      <c r="J829" t="str">
        <f t="shared" si="319"/>
        <v>USH 012</v>
      </c>
      <c r="K829" t="str">
        <f t="shared" si="320"/>
        <v xml:space="preserve">SAUK                          </v>
      </c>
      <c r="L829" t="str">
        <f t="shared" si="321"/>
        <v xml:space="preserve">WISCONSIN DELLS - BARABOO          </v>
      </c>
      <c r="M829" t="str">
        <f t="shared" si="330"/>
        <v xml:space="preserve">PILGRIM DRIVE TO E ADAMS ST        </v>
      </c>
      <c r="N829">
        <v>0.98299999999999998</v>
      </c>
      <c r="O829" t="str">
        <f>CLEAN("6145-01-82")</f>
        <v>6145-01-82</v>
      </c>
      <c r="P829" t="str">
        <f t="shared" si="322"/>
        <v xml:space="preserve">STATE 3R                                                                                            </v>
      </c>
    </row>
    <row r="830" spans="1:16" x14ac:dyDescent="0.25">
      <c r="A830" t="str">
        <f t="shared" si="306"/>
        <v>10</v>
      </c>
      <c r="B830" t="str">
        <f t="shared" si="315"/>
        <v>21</v>
      </c>
      <c r="C830" s="1">
        <v>45944</v>
      </c>
      <c r="D830" t="str">
        <f t="shared" si="327"/>
        <v>6145-01-83</v>
      </c>
      <c r="E830" t="str">
        <f t="shared" si="316"/>
        <v xml:space="preserve">303  </v>
      </c>
      <c r="F830" t="str">
        <f t="shared" si="328"/>
        <v xml:space="preserve">$1,000,000 - $1,999,999  </v>
      </c>
      <c r="G830" t="str">
        <f t="shared" si="317"/>
        <v>LET</v>
      </c>
      <c r="H830" t="str">
        <f t="shared" si="318"/>
        <v xml:space="preserve">LET CONSTRUCTION         </v>
      </c>
      <c r="I830" t="str">
        <f t="shared" si="329"/>
        <v xml:space="preserve">CONST/SEWER &amp; WATER/PVRPLA         </v>
      </c>
      <c r="J830" t="str">
        <f t="shared" si="319"/>
        <v>USH 012</v>
      </c>
      <c r="K830" t="str">
        <f t="shared" si="320"/>
        <v xml:space="preserve">SAUK                          </v>
      </c>
      <c r="L830" t="str">
        <f t="shared" si="321"/>
        <v xml:space="preserve">WISCONSIN DELLS - BARABOO          </v>
      </c>
      <c r="M830" t="str">
        <f t="shared" si="330"/>
        <v xml:space="preserve">PILGRIM DRIVE TO E ADAMS ST        </v>
      </c>
      <c r="N830">
        <v>0.98299999999999998</v>
      </c>
      <c r="O830" t="str">
        <f>CLEAN("6145-01-84")</f>
        <v>6145-01-84</v>
      </c>
      <c r="P830" t="str">
        <f t="shared" si="322"/>
        <v xml:space="preserve">STATE 3R                                                                                            </v>
      </c>
    </row>
    <row r="831" spans="1:16" x14ac:dyDescent="0.25">
      <c r="A831" t="str">
        <f t="shared" si="306"/>
        <v>10</v>
      </c>
      <c r="B831" t="str">
        <f t="shared" si="315"/>
        <v>21</v>
      </c>
      <c r="C831" s="1">
        <v>45944</v>
      </c>
      <c r="D831" t="str">
        <f t="shared" ref="D831:D836" si="331">CLEAN("6145-01-84")</f>
        <v>6145-01-84</v>
      </c>
      <c r="E831" t="str">
        <f t="shared" si="316"/>
        <v xml:space="preserve">303  </v>
      </c>
      <c r="F831" t="str">
        <f t="shared" ref="F831:F836" si="332">CLEAN("$2,000,000 - $2,999,999  ")</f>
        <v xml:space="preserve">$2,000,000 - $2,999,999  </v>
      </c>
      <c r="G831" t="str">
        <f t="shared" si="317"/>
        <v>LET</v>
      </c>
      <c r="H831" t="str">
        <f t="shared" si="318"/>
        <v xml:space="preserve">LET CONSTRUCTION         </v>
      </c>
      <c r="I831" t="str">
        <f t="shared" si="329"/>
        <v xml:space="preserve">CONST/SEWER &amp; WATER/PVRPLA         </v>
      </c>
      <c r="J831" t="str">
        <f t="shared" si="319"/>
        <v>USH 012</v>
      </c>
      <c r="K831" t="str">
        <f t="shared" si="320"/>
        <v xml:space="preserve">SAUK                          </v>
      </c>
      <c r="L831" t="str">
        <f t="shared" si="321"/>
        <v xml:space="preserve">WISCONSIN DELLS - BARABOO          </v>
      </c>
      <c r="M831" t="str">
        <f t="shared" ref="M831:M836" si="333">CLEAN("STH 13 TO CTH A                    ")</f>
        <v xml:space="preserve">STH 13 TO CTH A                    </v>
      </c>
      <c r="N831">
        <v>0.53600000000000003</v>
      </c>
      <c r="O831" t="str">
        <f>CLEAN("6130-01-72")</f>
        <v>6130-01-72</v>
      </c>
      <c r="P831" t="str">
        <f t="shared" si="322"/>
        <v xml:space="preserve">STATE 3R                                                                                            </v>
      </c>
    </row>
    <row r="832" spans="1:16" x14ac:dyDescent="0.25">
      <c r="A832" t="str">
        <f t="shared" si="306"/>
        <v>10</v>
      </c>
      <c r="B832" t="str">
        <f t="shared" si="315"/>
        <v>21</v>
      </c>
      <c r="C832" s="1">
        <v>45944</v>
      </c>
      <c r="D832" t="str">
        <f t="shared" si="331"/>
        <v>6145-01-84</v>
      </c>
      <c r="E832" t="str">
        <f t="shared" si="316"/>
        <v xml:space="preserve">303  </v>
      </c>
      <c r="F832" t="str">
        <f t="shared" si="332"/>
        <v xml:space="preserve">$2,000,000 - $2,999,999  </v>
      </c>
      <c r="G832" t="str">
        <f t="shared" si="317"/>
        <v>LET</v>
      </c>
      <c r="H832" t="str">
        <f t="shared" si="318"/>
        <v xml:space="preserve">LET CONSTRUCTION         </v>
      </c>
      <c r="I832" t="str">
        <f t="shared" si="329"/>
        <v xml:space="preserve">CONST/SEWER &amp; WATER/PVRPLA         </v>
      </c>
      <c r="J832" t="str">
        <f t="shared" si="319"/>
        <v>USH 012</v>
      </c>
      <c r="K832" t="str">
        <f t="shared" si="320"/>
        <v xml:space="preserve">SAUK                          </v>
      </c>
      <c r="L832" t="str">
        <f t="shared" si="321"/>
        <v xml:space="preserve">WISCONSIN DELLS - BARABOO          </v>
      </c>
      <c r="M832" t="str">
        <f t="shared" si="333"/>
        <v xml:space="preserve">STH 13 TO CTH A                    </v>
      </c>
      <c r="N832">
        <v>0.53600000000000003</v>
      </c>
      <c r="O832" t="str">
        <f>CLEAN("6145-01-72")</f>
        <v>6145-01-72</v>
      </c>
      <c r="P832" t="str">
        <f t="shared" si="322"/>
        <v xml:space="preserve">STATE 3R                                                                                            </v>
      </c>
    </row>
    <row r="833" spans="1:16" x14ac:dyDescent="0.25">
      <c r="A833" t="str">
        <f t="shared" si="306"/>
        <v>10</v>
      </c>
      <c r="B833" t="str">
        <f t="shared" si="315"/>
        <v>21</v>
      </c>
      <c r="C833" s="1">
        <v>45944</v>
      </c>
      <c r="D833" t="str">
        <f t="shared" si="331"/>
        <v>6145-01-84</v>
      </c>
      <c r="E833" t="str">
        <f t="shared" si="316"/>
        <v xml:space="preserve">303  </v>
      </c>
      <c r="F833" t="str">
        <f t="shared" si="332"/>
        <v xml:space="preserve">$2,000,000 - $2,999,999  </v>
      </c>
      <c r="G833" t="str">
        <f t="shared" si="317"/>
        <v>LET</v>
      </c>
      <c r="H833" t="str">
        <f t="shared" si="318"/>
        <v xml:space="preserve">LET CONSTRUCTION         </v>
      </c>
      <c r="I833" t="str">
        <f t="shared" si="329"/>
        <v xml:space="preserve">CONST/SEWER &amp; WATER/PVRPLA         </v>
      </c>
      <c r="J833" t="str">
        <f t="shared" si="319"/>
        <v>USH 012</v>
      </c>
      <c r="K833" t="str">
        <f t="shared" si="320"/>
        <v xml:space="preserve">SAUK                          </v>
      </c>
      <c r="L833" t="str">
        <f t="shared" si="321"/>
        <v xml:space="preserve">WISCONSIN DELLS - BARABOO          </v>
      </c>
      <c r="M833" t="str">
        <f t="shared" si="333"/>
        <v xml:space="preserve">STH 13 TO CTH A                    </v>
      </c>
      <c r="N833">
        <v>0.53600000000000003</v>
      </c>
      <c r="O833" t="str">
        <f>CLEAN("6145-01-73")</f>
        <v>6145-01-73</v>
      </c>
      <c r="P833" t="str">
        <f t="shared" si="322"/>
        <v xml:space="preserve">STATE 3R                                                                                            </v>
      </c>
    </row>
    <row r="834" spans="1:16" x14ac:dyDescent="0.25">
      <c r="A834" t="str">
        <f t="shared" si="306"/>
        <v>10</v>
      </c>
      <c r="B834" t="str">
        <f t="shared" si="315"/>
        <v>21</v>
      </c>
      <c r="C834" s="1">
        <v>45944</v>
      </c>
      <c r="D834" t="str">
        <f t="shared" si="331"/>
        <v>6145-01-84</v>
      </c>
      <c r="E834" t="str">
        <f t="shared" si="316"/>
        <v xml:space="preserve">303  </v>
      </c>
      <c r="F834" t="str">
        <f t="shared" si="332"/>
        <v xml:space="preserve">$2,000,000 - $2,999,999  </v>
      </c>
      <c r="G834" t="str">
        <f t="shared" si="317"/>
        <v>LET</v>
      </c>
      <c r="H834" t="str">
        <f t="shared" si="318"/>
        <v xml:space="preserve">LET CONSTRUCTION         </v>
      </c>
      <c r="I834" t="str">
        <f t="shared" si="329"/>
        <v xml:space="preserve">CONST/SEWER &amp; WATER/PVRPLA         </v>
      </c>
      <c r="J834" t="str">
        <f t="shared" si="319"/>
        <v>USH 012</v>
      </c>
      <c r="K834" t="str">
        <f t="shared" si="320"/>
        <v xml:space="preserve">SAUK                          </v>
      </c>
      <c r="L834" t="str">
        <f t="shared" si="321"/>
        <v xml:space="preserve">WISCONSIN DELLS - BARABOO          </v>
      </c>
      <c r="M834" t="str">
        <f t="shared" si="333"/>
        <v xml:space="preserve">STH 13 TO CTH A                    </v>
      </c>
      <c r="N834">
        <v>0.53600000000000003</v>
      </c>
      <c r="O834" t="str">
        <f>CLEAN("6145-01-74")</f>
        <v>6145-01-74</v>
      </c>
      <c r="P834" t="str">
        <f t="shared" si="322"/>
        <v xml:space="preserve">STATE 3R                                                                                            </v>
      </c>
    </row>
    <row r="835" spans="1:16" x14ac:dyDescent="0.25">
      <c r="A835" t="str">
        <f t="shared" si="306"/>
        <v>10</v>
      </c>
      <c r="B835" t="str">
        <f t="shared" si="315"/>
        <v>21</v>
      </c>
      <c r="C835" s="1">
        <v>45944</v>
      </c>
      <c r="D835" t="str">
        <f t="shared" si="331"/>
        <v>6145-01-84</v>
      </c>
      <c r="E835" t="str">
        <f t="shared" si="316"/>
        <v xml:space="preserve">303  </v>
      </c>
      <c r="F835" t="str">
        <f t="shared" si="332"/>
        <v xml:space="preserve">$2,000,000 - $2,999,999  </v>
      </c>
      <c r="G835" t="str">
        <f t="shared" si="317"/>
        <v>LET</v>
      </c>
      <c r="H835" t="str">
        <f t="shared" si="318"/>
        <v xml:space="preserve">LET CONSTRUCTION         </v>
      </c>
      <c r="I835" t="str">
        <f t="shared" si="329"/>
        <v xml:space="preserve">CONST/SEWER &amp; WATER/PVRPLA         </v>
      </c>
      <c r="J835" t="str">
        <f t="shared" si="319"/>
        <v>USH 012</v>
      </c>
      <c r="K835" t="str">
        <f t="shared" si="320"/>
        <v xml:space="preserve">SAUK                          </v>
      </c>
      <c r="L835" t="str">
        <f t="shared" si="321"/>
        <v xml:space="preserve">WISCONSIN DELLS - BARABOO          </v>
      </c>
      <c r="M835" t="str">
        <f t="shared" si="333"/>
        <v xml:space="preserve">STH 13 TO CTH A                    </v>
      </c>
      <c r="N835">
        <v>0.53600000000000003</v>
      </c>
      <c r="O835" t="str">
        <f>CLEAN("6145-01-82")</f>
        <v>6145-01-82</v>
      </c>
      <c r="P835" t="str">
        <f t="shared" si="322"/>
        <v xml:space="preserve">STATE 3R                                                                                            </v>
      </c>
    </row>
    <row r="836" spans="1:16" x14ac:dyDescent="0.25">
      <c r="A836" t="str">
        <f t="shared" si="306"/>
        <v>10</v>
      </c>
      <c r="B836" t="str">
        <f t="shared" si="315"/>
        <v>21</v>
      </c>
      <c r="C836" s="1">
        <v>45944</v>
      </c>
      <c r="D836" t="str">
        <f t="shared" si="331"/>
        <v>6145-01-84</v>
      </c>
      <c r="E836" t="str">
        <f t="shared" si="316"/>
        <v xml:space="preserve">303  </v>
      </c>
      <c r="F836" t="str">
        <f t="shared" si="332"/>
        <v xml:space="preserve">$2,000,000 - $2,999,999  </v>
      </c>
      <c r="G836" t="str">
        <f t="shared" si="317"/>
        <v>LET</v>
      </c>
      <c r="H836" t="str">
        <f t="shared" si="318"/>
        <v xml:space="preserve">LET CONSTRUCTION         </v>
      </c>
      <c r="I836" t="str">
        <f t="shared" si="329"/>
        <v xml:space="preserve">CONST/SEWER &amp; WATER/PVRPLA         </v>
      </c>
      <c r="J836" t="str">
        <f t="shared" si="319"/>
        <v>USH 012</v>
      </c>
      <c r="K836" t="str">
        <f t="shared" si="320"/>
        <v xml:space="preserve">SAUK                          </v>
      </c>
      <c r="L836" t="str">
        <f t="shared" si="321"/>
        <v xml:space="preserve">WISCONSIN DELLS - BARABOO          </v>
      </c>
      <c r="M836" t="str">
        <f t="shared" si="333"/>
        <v xml:space="preserve">STH 13 TO CTH A                    </v>
      </c>
      <c r="N836">
        <v>0.53600000000000003</v>
      </c>
      <c r="O836" t="str">
        <f>CLEAN("6145-01-83")</f>
        <v>6145-01-83</v>
      </c>
      <c r="P836" t="str">
        <f t="shared" si="322"/>
        <v xml:space="preserve">STATE 3R                                                                                            </v>
      </c>
    </row>
    <row r="837" spans="1:16" x14ac:dyDescent="0.25">
      <c r="A837" t="str">
        <f t="shared" si="306"/>
        <v>10</v>
      </c>
      <c r="B837" t="str">
        <f t="shared" ref="B837:B858" si="334">CLEAN("23")</f>
        <v>23</v>
      </c>
      <c r="C837" s="1">
        <v>45972</v>
      </c>
      <c r="D837" t="str">
        <f>CLEAN("6180-30-71")</f>
        <v>6180-30-71</v>
      </c>
      <c r="E837" t="str">
        <f t="shared" si="316"/>
        <v xml:space="preserve">303  </v>
      </c>
      <c r="F837" t="str">
        <f>CLEAN("$1,000,000 - $1,999,999  ")</f>
        <v xml:space="preserve">$1,000,000 - $1,999,999  </v>
      </c>
      <c r="G837" t="str">
        <f t="shared" si="317"/>
        <v>LET</v>
      </c>
      <c r="H837" t="str">
        <f t="shared" si="318"/>
        <v xml:space="preserve">LET CONSTRUCTION         </v>
      </c>
      <c r="I837" t="str">
        <f>CLEAN("CONST OPS/RSRF10                   ")</f>
        <v xml:space="preserve">CONST OPS/RSRF10                   </v>
      </c>
      <c r="J837" t="str">
        <f t="shared" ref="J837:J858" si="335">CLEAN("STH 021")</f>
        <v>STH 021</v>
      </c>
      <c r="K837" t="str">
        <f t="shared" ref="K837:K858" si="336">CLEAN("WINNEBAGO                     ")</f>
        <v xml:space="preserve">WINNEBAGO                     </v>
      </c>
      <c r="L837" t="str">
        <f t="shared" ref="L837:L858" si="337">CLEAN("OMRO - OSHKOSH                     ")</f>
        <v xml:space="preserve">OMRO - OSHKOSH                     </v>
      </c>
      <c r="M837" t="str">
        <f>CLEAN("STH 116 - LEONARD POINT ROAD       ")</f>
        <v xml:space="preserve">STH 116 - LEONARD POINT ROAD       </v>
      </c>
      <c r="N837">
        <v>6</v>
      </c>
      <c r="O837" t="str">
        <f>CLEAN("6180-30-72")</f>
        <v>6180-30-72</v>
      </c>
      <c r="P837" t="str">
        <f t="shared" si="322"/>
        <v xml:space="preserve">STATE 3R                                                                                            </v>
      </c>
    </row>
    <row r="838" spans="1:16" x14ac:dyDescent="0.25">
      <c r="A838" t="str">
        <f t="shared" si="306"/>
        <v>10</v>
      </c>
      <c r="B838" t="str">
        <f t="shared" si="334"/>
        <v>23</v>
      </c>
      <c r="C838" s="1">
        <v>45972</v>
      </c>
      <c r="D838" t="str">
        <f>CLEAN("6180-30-71")</f>
        <v>6180-30-71</v>
      </c>
      <c r="E838" t="str">
        <f t="shared" si="316"/>
        <v xml:space="preserve">303  </v>
      </c>
      <c r="F838" t="str">
        <f>CLEAN("$1,000,000 - $1,999,999  ")</f>
        <v xml:space="preserve">$1,000,000 - $1,999,999  </v>
      </c>
      <c r="G838" t="str">
        <f t="shared" si="317"/>
        <v>LET</v>
      </c>
      <c r="H838" t="str">
        <f t="shared" si="318"/>
        <v xml:space="preserve">LET CONSTRUCTION         </v>
      </c>
      <c r="I838" t="str">
        <f>CLEAN("CONST OPS/RSRF10                   ")</f>
        <v xml:space="preserve">CONST OPS/RSRF10                   </v>
      </c>
      <c r="J838" t="str">
        <f t="shared" si="335"/>
        <v>STH 021</v>
      </c>
      <c r="K838" t="str">
        <f t="shared" si="336"/>
        <v xml:space="preserve">WINNEBAGO                     </v>
      </c>
      <c r="L838" t="str">
        <f t="shared" si="337"/>
        <v xml:space="preserve">OMRO - OSHKOSH                     </v>
      </c>
      <c r="M838" t="str">
        <f>CLEAN("STH 116 - LEONARD POINT ROAD       ")</f>
        <v xml:space="preserve">STH 116 - LEONARD POINT ROAD       </v>
      </c>
      <c r="N838">
        <v>6</v>
      </c>
      <c r="O838" t="str">
        <f>CLEAN("6180-30-73")</f>
        <v>6180-30-73</v>
      </c>
      <c r="P838" t="str">
        <f t="shared" si="322"/>
        <v xml:space="preserve">STATE 3R                                                                                            </v>
      </c>
    </row>
    <row r="839" spans="1:16" x14ac:dyDescent="0.25">
      <c r="A839" t="str">
        <f t="shared" si="306"/>
        <v>10</v>
      </c>
      <c r="B839" t="str">
        <f t="shared" si="334"/>
        <v>23</v>
      </c>
      <c r="C839" s="1">
        <v>45972</v>
      </c>
      <c r="D839" t="str">
        <f>CLEAN("6180-30-71")</f>
        <v>6180-30-71</v>
      </c>
      <c r="E839" t="str">
        <f t="shared" si="316"/>
        <v xml:space="preserve">303  </v>
      </c>
      <c r="F839" t="str">
        <f>CLEAN("$1,000,000 - $1,999,999  ")</f>
        <v xml:space="preserve">$1,000,000 - $1,999,999  </v>
      </c>
      <c r="G839" t="str">
        <f t="shared" si="317"/>
        <v>LET</v>
      </c>
      <c r="H839" t="str">
        <f t="shared" si="318"/>
        <v xml:space="preserve">LET CONSTRUCTION         </v>
      </c>
      <c r="I839" t="str">
        <f>CLEAN("CONST OPS/RSRF10                   ")</f>
        <v xml:space="preserve">CONST OPS/RSRF10                   </v>
      </c>
      <c r="J839" t="str">
        <f t="shared" si="335"/>
        <v>STH 021</v>
      </c>
      <c r="K839" t="str">
        <f t="shared" si="336"/>
        <v xml:space="preserve">WINNEBAGO                     </v>
      </c>
      <c r="L839" t="str">
        <f t="shared" si="337"/>
        <v xml:space="preserve">OMRO - OSHKOSH                     </v>
      </c>
      <c r="M839" t="str">
        <f>CLEAN("STH 116 - LEONARD POINT ROAD       ")</f>
        <v xml:space="preserve">STH 116 - LEONARD POINT ROAD       </v>
      </c>
      <c r="N839">
        <v>6</v>
      </c>
      <c r="O839" t="str">
        <f>CLEAN("6180-31-71")</f>
        <v>6180-31-71</v>
      </c>
      <c r="P839" t="str">
        <f t="shared" si="322"/>
        <v xml:space="preserve">STATE 3R                                                                                            </v>
      </c>
    </row>
    <row r="840" spans="1:16" x14ac:dyDescent="0.25">
      <c r="A840" t="str">
        <f t="shared" si="306"/>
        <v>10</v>
      </c>
      <c r="B840" t="str">
        <f t="shared" si="334"/>
        <v>23</v>
      </c>
      <c r="C840" s="1">
        <v>45972</v>
      </c>
      <c r="D840" t="str">
        <f t="shared" ref="D840:D845" si="338">CLEAN("6180-30-72")</f>
        <v>6180-30-72</v>
      </c>
      <c r="E840" t="str">
        <f t="shared" ref="E840:E860" si="339">CLEAN("303  ")</f>
        <v xml:space="preserve">303  </v>
      </c>
      <c r="F840" t="str">
        <f t="shared" ref="F840:F845" si="340">CLEAN("$2,000,000 - $2,999,999  ")</f>
        <v xml:space="preserve">$2,000,000 - $2,999,999  </v>
      </c>
      <c r="G840" t="str">
        <f t="shared" si="317"/>
        <v>LET</v>
      </c>
      <c r="H840" t="str">
        <f t="shared" si="318"/>
        <v xml:space="preserve">LET CONSTRUCTION         </v>
      </c>
      <c r="I840" t="str">
        <f t="shared" ref="I840:I851" si="341">CLEAN("CONST OPS/RECST/HSIP               ")</f>
        <v xml:space="preserve">CONST OPS/RECST/HSIP               </v>
      </c>
      <c r="J840" t="str">
        <f t="shared" si="335"/>
        <v>STH 021</v>
      </c>
      <c r="K840" t="str">
        <f t="shared" si="336"/>
        <v xml:space="preserve">WINNEBAGO                     </v>
      </c>
      <c r="L840" t="str">
        <f t="shared" si="337"/>
        <v xml:space="preserve">OMRO - OSHKOSH                     </v>
      </c>
      <c r="M840" t="str">
        <f t="shared" ref="M840:M845" si="342">CLEAN("CTH FF/REIGHMOOR RD INTERSECTION   ")</f>
        <v xml:space="preserve">CTH FF/REIGHMOOR RD INTERSECTION   </v>
      </c>
      <c r="N840">
        <v>0.33100000000000002</v>
      </c>
      <c r="O840" t="str">
        <f>CLEAN("6180-30-71")</f>
        <v>6180-30-71</v>
      </c>
      <c r="P840" t="str">
        <f>CLEAN("SAFETY (REGULAR HSIP)                                                                               ")</f>
        <v xml:space="preserve">SAFETY (REGULAR HSIP)                                                                               </v>
      </c>
    </row>
    <row r="841" spans="1:16" x14ac:dyDescent="0.25">
      <c r="A841" t="str">
        <f t="shared" si="306"/>
        <v>10</v>
      </c>
      <c r="B841" t="str">
        <f t="shared" si="334"/>
        <v>23</v>
      </c>
      <c r="C841" s="1">
        <v>45972</v>
      </c>
      <c r="D841" t="str">
        <f t="shared" si="338"/>
        <v>6180-30-72</v>
      </c>
      <c r="E841" t="str">
        <f t="shared" si="339"/>
        <v xml:space="preserve">303  </v>
      </c>
      <c r="F841" t="str">
        <f t="shared" si="340"/>
        <v xml:space="preserve">$2,000,000 - $2,999,999  </v>
      </c>
      <c r="G841" t="str">
        <f t="shared" si="317"/>
        <v>LET</v>
      </c>
      <c r="H841" t="str">
        <f t="shared" si="318"/>
        <v xml:space="preserve">LET CONSTRUCTION         </v>
      </c>
      <c r="I841" t="str">
        <f t="shared" si="341"/>
        <v xml:space="preserve">CONST OPS/RECST/HSIP               </v>
      </c>
      <c r="J841" t="str">
        <f t="shared" si="335"/>
        <v>STH 021</v>
      </c>
      <c r="K841" t="str">
        <f t="shared" si="336"/>
        <v xml:space="preserve">WINNEBAGO                     </v>
      </c>
      <c r="L841" t="str">
        <f t="shared" si="337"/>
        <v xml:space="preserve">OMRO - OSHKOSH                     </v>
      </c>
      <c r="M841" t="str">
        <f t="shared" si="342"/>
        <v xml:space="preserve">CTH FF/REIGHMOOR RD INTERSECTION   </v>
      </c>
      <c r="N841">
        <v>0.33100000000000002</v>
      </c>
      <c r="O841" t="str">
        <f>CLEAN("6180-30-71")</f>
        <v>6180-30-71</v>
      </c>
      <c r="P841" t="str">
        <f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842" spans="1:16" x14ac:dyDescent="0.25">
      <c r="A842" t="str">
        <f t="shared" si="306"/>
        <v>10</v>
      </c>
      <c r="B842" t="str">
        <f t="shared" si="334"/>
        <v>23</v>
      </c>
      <c r="C842" s="1">
        <v>45972</v>
      </c>
      <c r="D842" t="str">
        <f t="shared" si="338"/>
        <v>6180-30-72</v>
      </c>
      <c r="E842" t="str">
        <f t="shared" si="339"/>
        <v xml:space="preserve">303  </v>
      </c>
      <c r="F842" t="str">
        <f t="shared" si="340"/>
        <v xml:space="preserve">$2,000,000 - $2,999,999  </v>
      </c>
      <c r="G842" t="str">
        <f t="shared" si="317"/>
        <v>LET</v>
      </c>
      <c r="H842" t="str">
        <f t="shared" si="318"/>
        <v xml:space="preserve">LET CONSTRUCTION         </v>
      </c>
      <c r="I842" t="str">
        <f t="shared" si="341"/>
        <v xml:space="preserve">CONST OPS/RECST/HSIP               </v>
      </c>
      <c r="J842" t="str">
        <f t="shared" si="335"/>
        <v>STH 021</v>
      </c>
      <c r="K842" t="str">
        <f t="shared" si="336"/>
        <v xml:space="preserve">WINNEBAGO                     </v>
      </c>
      <c r="L842" t="str">
        <f t="shared" si="337"/>
        <v xml:space="preserve">OMRO - OSHKOSH                     </v>
      </c>
      <c r="M842" t="str">
        <f t="shared" si="342"/>
        <v xml:space="preserve">CTH FF/REIGHMOOR RD INTERSECTION   </v>
      </c>
      <c r="N842">
        <v>0.33100000000000002</v>
      </c>
      <c r="O842" t="str">
        <f>CLEAN("6180-30-73")</f>
        <v>6180-30-73</v>
      </c>
      <c r="P842" t="str">
        <f>CLEAN("SAFETY (REGULAR HSIP)                                                                               ")</f>
        <v xml:space="preserve">SAFETY (REGULAR HSIP)                                                                               </v>
      </c>
    </row>
    <row r="843" spans="1:16" x14ac:dyDescent="0.25">
      <c r="A843" t="str">
        <f t="shared" si="306"/>
        <v>10</v>
      </c>
      <c r="B843" t="str">
        <f t="shared" si="334"/>
        <v>23</v>
      </c>
      <c r="C843" s="1">
        <v>45972</v>
      </c>
      <c r="D843" t="str">
        <f t="shared" si="338"/>
        <v>6180-30-72</v>
      </c>
      <c r="E843" t="str">
        <f t="shared" si="339"/>
        <v xml:space="preserve">303  </v>
      </c>
      <c r="F843" t="str">
        <f t="shared" si="340"/>
        <v xml:space="preserve">$2,000,000 - $2,999,999  </v>
      </c>
      <c r="G843" t="str">
        <f t="shared" si="317"/>
        <v>LET</v>
      </c>
      <c r="H843" t="str">
        <f t="shared" si="318"/>
        <v xml:space="preserve">LET CONSTRUCTION         </v>
      </c>
      <c r="I843" t="str">
        <f t="shared" si="341"/>
        <v xml:space="preserve">CONST OPS/RECST/HSIP               </v>
      </c>
      <c r="J843" t="str">
        <f t="shared" si="335"/>
        <v>STH 021</v>
      </c>
      <c r="K843" t="str">
        <f t="shared" si="336"/>
        <v xml:space="preserve">WINNEBAGO                     </v>
      </c>
      <c r="L843" t="str">
        <f t="shared" si="337"/>
        <v xml:space="preserve">OMRO - OSHKOSH                     </v>
      </c>
      <c r="M843" t="str">
        <f t="shared" si="342"/>
        <v xml:space="preserve">CTH FF/REIGHMOOR RD INTERSECTION   </v>
      </c>
      <c r="N843">
        <v>0.33100000000000002</v>
      </c>
      <c r="O843" t="str">
        <f>CLEAN("6180-30-73")</f>
        <v>6180-30-73</v>
      </c>
      <c r="P843" t="str">
        <f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844" spans="1:16" x14ac:dyDescent="0.25">
      <c r="A844" t="str">
        <f t="shared" si="306"/>
        <v>10</v>
      </c>
      <c r="B844" t="str">
        <f t="shared" si="334"/>
        <v>23</v>
      </c>
      <c r="C844" s="1">
        <v>45972</v>
      </c>
      <c r="D844" t="str">
        <f t="shared" si="338"/>
        <v>6180-30-72</v>
      </c>
      <c r="E844" t="str">
        <f t="shared" si="339"/>
        <v xml:space="preserve">303  </v>
      </c>
      <c r="F844" t="str">
        <f t="shared" si="340"/>
        <v xml:space="preserve">$2,000,000 - $2,999,999  </v>
      </c>
      <c r="G844" t="str">
        <f t="shared" si="317"/>
        <v>LET</v>
      </c>
      <c r="H844" t="str">
        <f t="shared" si="318"/>
        <v xml:space="preserve">LET CONSTRUCTION         </v>
      </c>
      <c r="I844" t="str">
        <f t="shared" si="341"/>
        <v xml:space="preserve">CONST OPS/RECST/HSIP               </v>
      </c>
      <c r="J844" t="str">
        <f t="shared" si="335"/>
        <v>STH 021</v>
      </c>
      <c r="K844" t="str">
        <f t="shared" si="336"/>
        <v xml:space="preserve">WINNEBAGO                     </v>
      </c>
      <c r="L844" t="str">
        <f t="shared" si="337"/>
        <v xml:space="preserve">OMRO - OSHKOSH                     </v>
      </c>
      <c r="M844" t="str">
        <f t="shared" si="342"/>
        <v xml:space="preserve">CTH FF/REIGHMOOR RD INTERSECTION   </v>
      </c>
      <c r="N844">
        <v>0.33100000000000002</v>
      </c>
      <c r="O844" t="str">
        <f>CLEAN("6180-31-71")</f>
        <v>6180-31-71</v>
      </c>
      <c r="P844" t="str">
        <f>CLEAN("SAFETY (REGULAR HSIP)                                                                               ")</f>
        <v xml:space="preserve">SAFETY (REGULAR HSIP)                                                                               </v>
      </c>
    </row>
    <row r="845" spans="1:16" x14ac:dyDescent="0.25">
      <c r="A845" t="str">
        <f t="shared" si="306"/>
        <v>10</v>
      </c>
      <c r="B845" t="str">
        <f t="shared" si="334"/>
        <v>23</v>
      </c>
      <c r="C845" s="1">
        <v>45972</v>
      </c>
      <c r="D845" t="str">
        <f t="shared" si="338"/>
        <v>6180-30-72</v>
      </c>
      <c r="E845" t="str">
        <f t="shared" si="339"/>
        <v xml:space="preserve">303  </v>
      </c>
      <c r="F845" t="str">
        <f t="shared" si="340"/>
        <v xml:space="preserve">$2,000,000 - $2,999,999  </v>
      </c>
      <c r="G845" t="str">
        <f t="shared" si="317"/>
        <v>LET</v>
      </c>
      <c r="H845" t="str">
        <f t="shared" si="318"/>
        <v xml:space="preserve">LET CONSTRUCTION         </v>
      </c>
      <c r="I845" t="str">
        <f t="shared" si="341"/>
        <v xml:space="preserve">CONST OPS/RECST/HSIP               </v>
      </c>
      <c r="J845" t="str">
        <f t="shared" si="335"/>
        <v>STH 021</v>
      </c>
      <c r="K845" t="str">
        <f t="shared" si="336"/>
        <v xml:space="preserve">WINNEBAGO                     </v>
      </c>
      <c r="L845" t="str">
        <f t="shared" si="337"/>
        <v xml:space="preserve">OMRO - OSHKOSH                     </v>
      </c>
      <c r="M845" t="str">
        <f t="shared" si="342"/>
        <v xml:space="preserve">CTH FF/REIGHMOOR RD INTERSECTION   </v>
      </c>
      <c r="N845">
        <v>0.33100000000000002</v>
      </c>
      <c r="O845" t="str">
        <f>CLEAN("6180-31-71")</f>
        <v>6180-31-71</v>
      </c>
      <c r="P845" t="str">
        <f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846" spans="1:16" x14ac:dyDescent="0.25">
      <c r="A846" t="str">
        <f t="shared" si="306"/>
        <v>10</v>
      </c>
      <c r="B846" t="str">
        <f t="shared" si="334"/>
        <v>23</v>
      </c>
      <c r="C846" s="1">
        <v>45972</v>
      </c>
      <c r="D846" t="str">
        <f t="shared" ref="D846:D851" si="343">CLEAN("6180-30-73")</f>
        <v>6180-30-73</v>
      </c>
      <c r="E846" t="str">
        <f t="shared" si="339"/>
        <v xml:space="preserve">303  </v>
      </c>
      <c r="F846" t="str">
        <f t="shared" ref="F846:F851" si="344">CLEAN("$1,000,000 - $1,999,999  ")</f>
        <v xml:space="preserve">$1,000,000 - $1,999,999  </v>
      </c>
      <c r="G846" t="str">
        <f t="shared" si="317"/>
        <v>LET</v>
      </c>
      <c r="H846" t="str">
        <f t="shared" si="318"/>
        <v xml:space="preserve">LET CONSTRUCTION         </v>
      </c>
      <c r="I846" t="str">
        <f t="shared" si="341"/>
        <v xml:space="preserve">CONST OPS/RECST/HSIP               </v>
      </c>
      <c r="J846" t="str">
        <f t="shared" si="335"/>
        <v>STH 021</v>
      </c>
      <c r="K846" t="str">
        <f t="shared" si="336"/>
        <v xml:space="preserve">WINNEBAGO                     </v>
      </c>
      <c r="L846" t="str">
        <f t="shared" si="337"/>
        <v xml:space="preserve">OMRO - OSHKOSH                     </v>
      </c>
      <c r="M846" t="str">
        <f t="shared" ref="M846:M851" si="345">CLEAN("SAND PIT RD INTERSECTION           ")</f>
        <v xml:space="preserve">SAND PIT RD INTERSECTION           </v>
      </c>
      <c r="N846">
        <v>3.5999999999999997E-2</v>
      </c>
      <c r="O846" t="str">
        <f>CLEAN("6180-30-71")</f>
        <v>6180-30-71</v>
      </c>
      <c r="P846" t="str">
        <f>CLEAN("SAFETY (REGULAR HSIP)                                                                               ")</f>
        <v xml:space="preserve">SAFETY (REGULAR HSIP)                                                                               </v>
      </c>
    </row>
    <row r="847" spans="1:16" x14ac:dyDescent="0.25">
      <c r="A847" t="str">
        <f t="shared" si="306"/>
        <v>10</v>
      </c>
      <c r="B847" t="str">
        <f t="shared" si="334"/>
        <v>23</v>
      </c>
      <c r="C847" s="1">
        <v>45972</v>
      </c>
      <c r="D847" t="str">
        <f t="shared" si="343"/>
        <v>6180-30-73</v>
      </c>
      <c r="E847" t="str">
        <f t="shared" si="339"/>
        <v xml:space="preserve">303  </v>
      </c>
      <c r="F847" t="str">
        <f t="shared" si="344"/>
        <v xml:space="preserve">$1,000,000 - $1,999,999  </v>
      </c>
      <c r="G847" t="str">
        <f t="shared" si="317"/>
        <v>LET</v>
      </c>
      <c r="H847" t="str">
        <f t="shared" si="318"/>
        <v xml:space="preserve">LET CONSTRUCTION         </v>
      </c>
      <c r="I847" t="str">
        <f t="shared" si="341"/>
        <v xml:space="preserve">CONST OPS/RECST/HSIP               </v>
      </c>
      <c r="J847" t="str">
        <f t="shared" si="335"/>
        <v>STH 021</v>
      </c>
      <c r="K847" t="str">
        <f t="shared" si="336"/>
        <v xml:space="preserve">WINNEBAGO                     </v>
      </c>
      <c r="L847" t="str">
        <f t="shared" si="337"/>
        <v xml:space="preserve">OMRO - OSHKOSH                     </v>
      </c>
      <c r="M847" t="str">
        <f t="shared" si="345"/>
        <v xml:space="preserve">SAND PIT RD INTERSECTION           </v>
      </c>
      <c r="N847">
        <v>3.5999999999999997E-2</v>
      </c>
      <c r="O847" t="str">
        <f>CLEAN("6180-30-71")</f>
        <v>6180-30-71</v>
      </c>
      <c r="P847" t="str">
        <f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848" spans="1:16" x14ac:dyDescent="0.25">
      <c r="A848" t="str">
        <f t="shared" si="306"/>
        <v>10</v>
      </c>
      <c r="B848" t="str">
        <f t="shared" si="334"/>
        <v>23</v>
      </c>
      <c r="C848" s="1">
        <v>45972</v>
      </c>
      <c r="D848" t="str">
        <f t="shared" si="343"/>
        <v>6180-30-73</v>
      </c>
      <c r="E848" t="str">
        <f t="shared" si="339"/>
        <v xml:space="preserve">303  </v>
      </c>
      <c r="F848" t="str">
        <f t="shared" si="344"/>
        <v xml:space="preserve">$1,000,000 - $1,999,999  </v>
      </c>
      <c r="G848" t="str">
        <f t="shared" si="317"/>
        <v>LET</v>
      </c>
      <c r="H848" t="str">
        <f t="shared" si="318"/>
        <v xml:space="preserve">LET CONSTRUCTION         </v>
      </c>
      <c r="I848" t="str">
        <f t="shared" si="341"/>
        <v xml:space="preserve">CONST OPS/RECST/HSIP               </v>
      </c>
      <c r="J848" t="str">
        <f t="shared" si="335"/>
        <v>STH 021</v>
      </c>
      <c r="K848" t="str">
        <f t="shared" si="336"/>
        <v xml:space="preserve">WINNEBAGO                     </v>
      </c>
      <c r="L848" t="str">
        <f t="shared" si="337"/>
        <v xml:space="preserve">OMRO - OSHKOSH                     </v>
      </c>
      <c r="M848" t="str">
        <f t="shared" si="345"/>
        <v xml:space="preserve">SAND PIT RD INTERSECTION           </v>
      </c>
      <c r="N848">
        <v>3.5999999999999997E-2</v>
      </c>
      <c r="O848" t="str">
        <f>CLEAN("6180-30-72")</f>
        <v>6180-30-72</v>
      </c>
      <c r="P848" t="str">
        <f>CLEAN("SAFETY (REGULAR HSIP)                                                                               ")</f>
        <v xml:space="preserve">SAFETY (REGULAR HSIP)                                                                               </v>
      </c>
    </row>
    <row r="849" spans="1:16" x14ac:dyDescent="0.25">
      <c r="A849" t="str">
        <f t="shared" si="306"/>
        <v>10</v>
      </c>
      <c r="B849" t="str">
        <f t="shared" si="334"/>
        <v>23</v>
      </c>
      <c r="C849" s="1">
        <v>45972</v>
      </c>
      <c r="D849" t="str">
        <f t="shared" si="343"/>
        <v>6180-30-73</v>
      </c>
      <c r="E849" t="str">
        <f t="shared" si="339"/>
        <v xml:space="preserve">303  </v>
      </c>
      <c r="F849" t="str">
        <f t="shared" si="344"/>
        <v xml:space="preserve">$1,000,000 - $1,999,999  </v>
      </c>
      <c r="G849" t="str">
        <f t="shared" si="317"/>
        <v>LET</v>
      </c>
      <c r="H849" t="str">
        <f t="shared" si="318"/>
        <v xml:space="preserve">LET CONSTRUCTION         </v>
      </c>
      <c r="I849" t="str">
        <f t="shared" si="341"/>
        <v xml:space="preserve">CONST OPS/RECST/HSIP               </v>
      </c>
      <c r="J849" t="str">
        <f t="shared" si="335"/>
        <v>STH 021</v>
      </c>
      <c r="K849" t="str">
        <f t="shared" si="336"/>
        <v xml:space="preserve">WINNEBAGO                     </v>
      </c>
      <c r="L849" t="str">
        <f t="shared" si="337"/>
        <v xml:space="preserve">OMRO - OSHKOSH                     </v>
      </c>
      <c r="M849" t="str">
        <f t="shared" si="345"/>
        <v xml:space="preserve">SAND PIT RD INTERSECTION           </v>
      </c>
      <c r="N849">
        <v>3.5999999999999997E-2</v>
      </c>
      <c r="O849" t="str">
        <f>CLEAN("6180-30-72")</f>
        <v>6180-30-72</v>
      </c>
      <c r="P849" t="str">
        <f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850" spans="1:16" x14ac:dyDescent="0.25">
      <c r="A850" t="str">
        <f t="shared" si="306"/>
        <v>10</v>
      </c>
      <c r="B850" t="str">
        <f t="shared" si="334"/>
        <v>23</v>
      </c>
      <c r="C850" s="1">
        <v>45972</v>
      </c>
      <c r="D850" t="str">
        <f t="shared" si="343"/>
        <v>6180-30-73</v>
      </c>
      <c r="E850" t="str">
        <f t="shared" si="339"/>
        <v xml:space="preserve">303  </v>
      </c>
      <c r="F850" t="str">
        <f t="shared" si="344"/>
        <v xml:space="preserve">$1,000,000 - $1,999,999  </v>
      </c>
      <c r="G850" t="str">
        <f t="shared" si="317"/>
        <v>LET</v>
      </c>
      <c r="H850" t="str">
        <f t="shared" si="318"/>
        <v xml:space="preserve">LET CONSTRUCTION         </v>
      </c>
      <c r="I850" t="str">
        <f t="shared" si="341"/>
        <v xml:space="preserve">CONST OPS/RECST/HSIP               </v>
      </c>
      <c r="J850" t="str">
        <f t="shared" si="335"/>
        <v>STH 021</v>
      </c>
      <c r="K850" t="str">
        <f t="shared" si="336"/>
        <v xml:space="preserve">WINNEBAGO                     </v>
      </c>
      <c r="L850" t="str">
        <f t="shared" si="337"/>
        <v xml:space="preserve">OMRO - OSHKOSH                     </v>
      </c>
      <c r="M850" t="str">
        <f t="shared" si="345"/>
        <v xml:space="preserve">SAND PIT RD INTERSECTION           </v>
      </c>
      <c r="N850">
        <v>3.5999999999999997E-2</v>
      </c>
      <c r="O850" t="str">
        <f>CLEAN("6180-31-71")</f>
        <v>6180-31-71</v>
      </c>
      <c r="P850" t="str">
        <f>CLEAN("SAFETY (REGULAR HSIP)                                                                               ")</f>
        <v xml:space="preserve">SAFETY (REGULAR HSIP)                                                                               </v>
      </c>
    </row>
    <row r="851" spans="1:16" x14ac:dyDescent="0.25">
      <c r="A851" t="str">
        <f t="shared" si="306"/>
        <v>10</v>
      </c>
      <c r="B851" t="str">
        <f t="shared" si="334"/>
        <v>23</v>
      </c>
      <c r="C851" s="1">
        <v>45972</v>
      </c>
      <c r="D851" t="str">
        <f t="shared" si="343"/>
        <v>6180-30-73</v>
      </c>
      <c r="E851" t="str">
        <f t="shared" si="339"/>
        <v xml:space="preserve">303  </v>
      </c>
      <c r="F851" t="str">
        <f t="shared" si="344"/>
        <v xml:space="preserve">$1,000,000 - $1,999,999  </v>
      </c>
      <c r="G851" t="str">
        <f t="shared" si="317"/>
        <v>LET</v>
      </c>
      <c r="H851" t="str">
        <f t="shared" si="318"/>
        <v xml:space="preserve">LET CONSTRUCTION         </v>
      </c>
      <c r="I851" t="str">
        <f t="shared" si="341"/>
        <v xml:space="preserve">CONST OPS/RECST/HSIP               </v>
      </c>
      <c r="J851" t="str">
        <f t="shared" si="335"/>
        <v>STH 021</v>
      </c>
      <c r="K851" t="str">
        <f t="shared" si="336"/>
        <v xml:space="preserve">WINNEBAGO                     </v>
      </c>
      <c r="L851" t="str">
        <f t="shared" si="337"/>
        <v xml:space="preserve">OMRO - OSHKOSH                     </v>
      </c>
      <c r="M851" t="str">
        <f t="shared" si="345"/>
        <v xml:space="preserve">SAND PIT RD INTERSECTION           </v>
      </c>
      <c r="N851">
        <v>3.5999999999999997E-2</v>
      </c>
      <c r="O851" t="str">
        <f>CLEAN("6180-31-71")</f>
        <v>6180-31-71</v>
      </c>
      <c r="P851" t="str">
        <f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852" spans="1:16" x14ac:dyDescent="0.25">
      <c r="A852" t="str">
        <f t="shared" si="306"/>
        <v>10</v>
      </c>
      <c r="B852" t="str">
        <f t="shared" si="334"/>
        <v>23</v>
      </c>
      <c r="C852" s="1">
        <v>45955</v>
      </c>
      <c r="D852" t="str">
        <f>CLEAN("6180-31-40")</f>
        <v>6180-31-40</v>
      </c>
      <c r="E852" t="str">
        <f t="shared" si="339"/>
        <v xml:space="preserve">303  </v>
      </c>
      <c r="F852" t="str">
        <f>CLEAN("$0 - $99,999             ")</f>
        <v xml:space="preserve">$0 - $99,999             </v>
      </c>
      <c r="G852" t="str">
        <f>CLEAN("UTL")</f>
        <v>UTL</v>
      </c>
      <c r="H852" t="str">
        <f>CLEAN("NONLET CONSTR/REAL ESTATE")</f>
        <v>NONLET CONSTR/REAL ESTATE</v>
      </c>
      <c r="I852" t="str">
        <f>CLEAN("EX- UTL OPS/RSRF10                 ")</f>
        <v xml:space="preserve">EX- UTL OPS/RSRF10                 </v>
      </c>
      <c r="J852" t="str">
        <f t="shared" si="335"/>
        <v>STH 021</v>
      </c>
      <c r="K852" t="str">
        <f t="shared" si="336"/>
        <v xml:space="preserve">WINNEBAGO                     </v>
      </c>
      <c r="L852" t="str">
        <f t="shared" si="337"/>
        <v xml:space="preserve">OMRO - OSHKOSH                     </v>
      </c>
      <c r="M852" t="str">
        <f t="shared" ref="M852:M858" si="346">CLEAN("LEONARD POINT RD - WASHBURN STREET ")</f>
        <v xml:space="preserve">LEONARD POINT RD - WASHBURN STREET </v>
      </c>
      <c r="N852">
        <v>9.5000000000000001E-2</v>
      </c>
      <c r="O852" t="str">
        <f>CLEAN("          ")</f>
        <v xml:space="preserve">          </v>
      </c>
      <c r="P852" t="str">
        <f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853" spans="1:16" x14ac:dyDescent="0.25">
      <c r="A853" t="str">
        <f t="shared" si="306"/>
        <v>10</v>
      </c>
      <c r="B853" t="str">
        <f t="shared" si="334"/>
        <v>23</v>
      </c>
      <c r="C853" s="1">
        <v>45972</v>
      </c>
      <c r="D853" t="str">
        <f t="shared" ref="D853:D858" si="347">CLEAN("6180-31-71")</f>
        <v>6180-31-71</v>
      </c>
      <c r="E853" t="str">
        <f t="shared" si="339"/>
        <v xml:space="preserve">303  </v>
      </c>
      <c r="F853" t="str">
        <f t="shared" ref="F853:F858" si="348">CLEAN("$6,000,000 - $6,999,999  ")</f>
        <v xml:space="preserve">$6,000,000 - $6,999,999  </v>
      </c>
      <c r="G853" t="str">
        <f t="shared" ref="G853:G858" si="349">CLEAN("LET")</f>
        <v>LET</v>
      </c>
      <c r="H853" t="str">
        <f t="shared" ref="H853:H858" si="350">CLEAN("LET CONSTRUCTION         ")</f>
        <v xml:space="preserve">LET CONSTRUCTION         </v>
      </c>
      <c r="I853" t="str">
        <f t="shared" ref="I853:I858" si="351">CLEAN("CONST OPS/RSRF20/HSIP              ")</f>
        <v xml:space="preserve">CONST OPS/RSRF20/HSIP              </v>
      </c>
      <c r="J853" t="str">
        <f t="shared" si="335"/>
        <v>STH 021</v>
      </c>
      <c r="K853" t="str">
        <f t="shared" si="336"/>
        <v xml:space="preserve">WINNEBAGO                     </v>
      </c>
      <c r="L853" t="str">
        <f t="shared" si="337"/>
        <v xml:space="preserve">OMRO - OSHKOSH                     </v>
      </c>
      <c r="M853" t="str">
        <f t="shared" si="346"/>
        <v xml:space="preserve">LEONARD POINT RD - WASHBURN STREET </v>
      </c>
      <c r="N853">
        <v>2.1579999999999999</v>
      </c>
      <c r="O853" t="str">
        <f>CLEAN("6180-30-71")</f>
        <v>6180-30-71</v>
      </c>
      <c r="P853" t="str">
        <f>CLEAN("SAFETY (REGULAR HSIP)                                                                               ")</f>
        <v xml:space="preserve">SAFETY (REGULAR HSIP)                                                                               </v>
      </c>
    </row>
    <row r="854" spans="1:16" x14ac:dyDescent="0.25">
      <c r="A854" t="str">
        <f t="shared" si="306"/>
        <v>10</v>
      </c>
      <c r="B854" t="str">
        <f t="shared" si="334"/>
        <v>23</v>
      </c>
      <c r="C854" s="1">
        <v>45972</v>
      </c>
      <c r="D854" t="str">
        <f t="shared" si="347"/>
        <v>6180-31-71</v>
      </c>
      <c r="E854" t="str">
        <f t="shared" si="339"/>
        <v xml:space="preserve">303  </v>
      </c>
      <c r="F854" t="str">
        <f t="shared" si="348"/>
        <v xml:space="preserve">$6,000,000 - $6,999,999  </v>
      </c>
      <c r="G854" t="str">
        <f t="shared" si="349"/>
        <v>LET</v>
      </c>
      <c r="H854" t="str">
        <f t="shared" si="350"/>
        <v xml:space="preserve">LET CONSTRUCTION         </v>
      </c>
      <c r="I854" t="str">
        <f t="shared" si="351"/>
        <v xml:space="preserve">CONST OPS/RSRF20/HSIP              </v>
      </c>
      <c r="J854" t="str">
        <f t="shared" si="335"/>
        <v>STH 021</v>
      </c>
      <c r="K854" t="str">
        <f t="shared" si="336"/>
        <v xml:space="preserve">WINNEBAGO                     </v>
      </c>
      <c r="L854" t="str">
        <f t="shared" si="337"/>
        <v xml:space="preserve">OMRO - OSHKOSH                     </v>
      </c>
      <c r="M854" t="str">
        <f t="shared" si="346"/>
        <v xml:space="preserve">LEONARD POINT RD - WASHBURN STREET </v>
      </c>
      <c r="N854">
        <v>2.1579999999999999</v>
      </c>
      <c r="O854" t="str">
        <f>CLEAN("6180-30-71")</f>
        <v>6180-30-71</v>
      </c>
      <c r="P854" t="str">
        <f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855" spans="1:16" x14ac:dyDescent="0.25">
      <c r="A855" t="str">
        <f t="shared" si="306"/>
        <v>10</v>
      </c>
      <c r="B855" t="str">
        <f t="shared" si="334"/>
        <v>23</v>
      </c>
      <c r="C855" s="1">
        <v>45972</v>
      </c>
      <c r="D855" t="str">
        <f t="shared" si="347"/>
        <v>6180-31-71</v>
      </c>
      <c r="E855" t="str">
        <f t="shared" si="339"/>
        <v xml:space="preserve">303  </v>
      </c>
      <c r="F855" t="str">
        <f t="shared" si="348"/>
        <v xml:space="preserve">$6,000,000 - $6,999,999  </v>
      </c>
      <c r="G855" t="str">
        <f t="shared" si="349"/>
        <v>LET</v>
      </c>
      <c r="H855" t="str">
        <f t="shared" si="350"/>
        <v xml:space="preserve">LET CONSTRUCTION         </v>
      </c>
      <c r="I855" t="str">
        <f t="shared" si="351"/>
        <v xml:space="preserve">CONST OPS/RSRF20/HSIP              </v>
      </c>
      <c r="J855" t="str">
        <f t="shared" si="335"/>
        <v>STH 021</v>
      </c>
      <c r="K855" t="str">
        <f t="shared" si="336"/>
        <v xml:space="preserve">WINNEBAGO                     </v>
      </c>
      <c r="L855" t="str">
        <f t="shared" si="337"/>
        <v xml:space="preserve">OMRO - OSHKOSH                     </v>
      </c>
      <c r="M855" t="str">
        <f t="shared" si="346"/>
        <v xml:space="preserve">LEONARD POINT RD - WASHBURN STREET </v>
      </c>
      <c r="N855">
        <v>2.1579999999999999</v>
      </c>
      <c r="O855" t="str">
        <f>CLEAN("6180-30-72")</f>
        <v>6180-30-72</v>
      </c>
      <c r="P855" t="str">
        <f>CLEAN("SAFETY (REGULAR HSIP)                                                                               ")</f>
        <v xml:space="preserve">SAFETY (REGULAR HSIP)                                                                               </v>
      </c>
    </row>
    <row r="856" spans="1:16" x14ac:dyDescent="0.25">
      <c r="A856" t="str">
        <f t="shared" si="306"/>
        <v>10</v>
      </c>
      <c r="B856" t="str">
        <f t="shared" si="334"/>
        <v>23</v>
      </c>
      <c r="C856" s="1">
        <v>45972</v>
      </c>
      <c r="D856" t="str">
        <f t="shared" si="347"/>
        <v>6180-31-71</v>
      </c>
      <c r="E856" t="str">
        <f t="shared" si="339"/>
        <v xml:space="preserve">303  </v>
      </c>
      <c r="F856" t="str">
        <f t="shared" si="348"/>
        <v xml:space="preserve">$6,000,000 - $6,999,999  </v>
      </c>
      <c r="G856" t="str">
        <f t="shared" si="349"/>
        <v>LET</v>
      </c>
      <c r="H856" t="str">
        <f t="shared" si="350"/>
        <v xml:space="preserve">LET CONSTRUCTION         </v>
      </c>
      <c r="I856" t="str">
        <f t="shared" si="351"/>
        <v xml:space="preserve">CONST OPS/RSRF20/HSIP              </v>
      </c>
      <c r="J856" t="str">
        <f t="shared" si="335"/>
        <v>STH 021</v>
      </c>
      <c r="K856" t="str">
        <f t="shared" si="336"/>
        <v xml:space="preserve">WINNEBAGO                     </v>
      </c>
      <c r="L856" t="str">
        <f t="shared" si="337"/>
        <v xml:space="preserve">OMRO - OSHKOSH                     </v>
      </c>
      <c r="M856" t="str">
        <f t="shared" si="346"/>
        <v xml:space="preserve">LEONARD POINT RD - WASHBURN STREET </v>
      </c>
      <c r="N856">
        <v>2.1579999999999999</v>
      </c>
      <c r="O856" t="str">
        <f>CLEAN("6180-30-72")</f>
        <v>6180-30-72</v>
      </c>
      <c r="P856" t="str">
        <f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857" spans="1:16" x14ac:dyDescent="0.25">
      <c r="A857" t="str">
        <f t="shared" si="306"/>
        <v>10</v>
      </c>
      <c r="B857" t="str">
        <f t="shared" si="334"/>
        <v>23</v>
      </c>
      <c r="C857" s="1">
        <v>45972</v>
      </c>
      <c r="D857" t="str">
        <f t="shared" si="347"/>
        <v>6180-31-71</v>
      </c>
      <c r="E857" t="str">
        <f t="shared" si="339"/>
        <v xml:space="preserve">303  </v>
      </c>
      <c r="F857" t="str">
        <f t="shared" si="348"/>
        <v xml:space="preserve">$6,000,000 - $6,999,999  </v>
      </c>
      <c r="G857" t="str">
        <f t="shared" si="349"/>
        <v>LET</v>
      </c>
      <c r="H857" t="str">
        <f t="shared" si="350"/>
        <v xml:space="preserve">LET CONSTRUCTION         </v>
      </c>
      <c r="I857" t="str">
        <f t="shared" si="351"/>
        <v xml:space="preserve">CONST OPS/RSRF20/HSIP              </v>
      </c>
      <c r="J857" t="str">
        <f t="shared" si="335"/>
        <v>STH 021</v>
      </c>
      <c r="K857" t="str">
        <f t="shared" si="336"/>
        <v xml:space="preserve">WINNEBAGO                     </v>
      </c>
      <c r="L857" t="str">
        <f t="shared" si="337"/>
        <v xml:space="preserve">OMRO - OSHKOSH                     </v>
      </c>
      <c r="M857" t="str">
        <f t="shared" si="346"/>
        <v xml:space="preserve">LEONARD POINT RD - WASHBURN STREET </v>
      </c>
      <c r="N857">
        <v>2.1579999999999999</v>
      </c>
      <c r="O857" t="str">
        <f>CLEAN("6180-30-73")</f>
        <v>6180-30-73</v>
      </c>
      <c r="P857" t="str">
        <f>CLEAN("SAFETY (REGULAR HSIP)                                                                               ")</f>
        <v xml:space="preserve">SAFETY (REGULAR HSIP)                                                                               </v>
      </c>
    </row>
    <row r="858" spans="1:16" x14ac:dyDescent="0.25">
      <c r="A858" t="str">
        <f t="shared" si="306"/>
        <v>10</v>
      </c>
      <c r="B858" t="str">
        <f t="shared" si="334"/>
        <v>23</v>
      </c>
      <c r="C858" s="1">
        <v>45972</v>
      </c>
      <c r="D858" t="str">
        <f t="shared" si="347"/>
        <v>6180-31-71</v>
      </c>
      <c r="E858" t="str">
        <f t="shared" si="339"/>
        <v xml:space="preserve">303  </v>
      </c>
      <c r="F858" t="str">
        <f t="shared" si="348"/>
        <v xml:space="preserve">$6,000,000 - $6,999,999  </v>
      </c>
      <c r="G858" t="str">
        <f t="shared" si="349"/>
        <v>LET</v>
      </c>
      <c r="H858" t="str">
        <f t="shared" si="350"/>
        <v xml:space="preserve">LET CONSTRUCTION         </v>
      </c>
      <c r="I858" t="str">
        <f t="shared" si="351"/>
        <v xml:space="preserve">CONST OPS/RSRF20/HSIP              </v>
      </c>
      <c r="J858" t="str">
        <f t="shared" si="335"/>
        <v>STH 021</v>
      </c>
      <c r="K858" t="str">
        <f t="shared" si="336"/>
        <v xml:space="preserve">WINNEBAGO                     </v>
      </c>
      <c r="L858" t="str">
        <f t="shared" si="337"/>
        <v xml:space="preserve">OMRO - OSHKOSH                     </v>
      </c>
      <c r="M858" t="str">
        <f t="shared" si="346"/>
        <v xml:space="preserve">LEONARD POINT RD - WASHBURN STREET </v>
      </c>
      <c r="N858">
        <v>2.1579999999999999</v>
      </c>
      <c r="O858" t="str">
        <f>CLEAN("6180-30-73")</f>
        <v>6180-30-73</v>
      </c>
      <c r="P858" t="str">
        <f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859" spans="1:16" x14ac:dyDescent="0.25">
      <c r="A859" t="str">
        <f t="shared" ref="A859:A922" si="352">CLEAN("10")</f>
        <v>10</v>
      </c>
      <c r="B859" t="str">
        <f>CLEAN("24")</f>
        <v>24</v>
      </c>
      <c r="C859" s="1">
        <v>46078</v>
      </c>
      <c r="D859" t="str">
        <f>CLEAN("6210-00-24")</f>
        <v>6210-00-24</v>
      </c>
      <c r="E859" t="str">
        <f t="shared" si="339"/>
        <v xml:space="preserve">303  </v>
      </c>
      <c r="F859" t="str">
        <f>CLEAN("$100,000-$249,999        ")</f>
        <v xml:space="preserve">$100,000-$249,999        </v>
      </c>
      <c r="G859" t="str">
        <f>CLEAN("R/E")</f>
        <v>R/E</v>
      </c>
      <c r="H859" t="str">
        <f>CLEAN("NONLET CONSTR/REAL ESTATE")</f>
        <v>NONLET CONSTR/REAL ESTATE</v>
      </c>
      <c r="I859" t="str">
        <f>CLEAN("REAL ESTATE/PVRPLA                 ")</f>
        <v xml:space="preserve">REAL ESTATE/PVRPLA                 </v>
      </c>
      <c r="J859" t="str">
        <f>CLEAN("STH 049")</f>
        <v>STH 049</v>
      </c>
      <c r="K859" t="str">
        <f>CLEAN("GREEN LAKE                    ")</f>
        <v xml:space="preserve">GREEN LAKE                    </v>
      </c>
      <c r="L859" t="str">
        <f>CLEAN("C BERLIN, BROADWAY ST AND RIPON RD ")</f>
        <v xml:space="preserve">C BERLIN, BROADWAY ST AND RIPON RD </v>
      </c>
      <c r="M859" t="str">
        <f>CLEAN("SOUTH STREET TO S WASHINGTON STREET")</f>
        <v>SOUTH STREET TO S WASHINGTON STREET</v>
      </c>
      <c r="N859">
        <v>1.18</v>
      </c>
      <c r="O859" t="str">
        <f>CLEAN("          ")</f>
        <v xml:space="preserve">          </v>
      </c>
      <c r="P859" t="str">
        <f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860" spans="1:16" x14ac:dyDescent="0.25">
      <c r="A860" t="str">
        <f t="shared" si="352"/>
        <v>10</v>
      </c>
      <c r="B860" t="str">
        <f>CLEAN("24")</f>
        <v>24</v>
      </c>
      <c r="C860" s="1">
        <v>46137</v>
      </c>
      <c r="D860" t="str">
        <f>CLEAN("6210-01-25")</f>
        <v>6210-01-25</v>
      </c>
      <c r="E860" t="str">
        <f t="shared" si="339"/>
        <v xml:space="preserve">303  </v>
      </c>
      <c r="F860" t="str">
        <f>CLEAN("$0 - $99,999             ")</f>
        <v xml:space="preserve">$0 - $99,999             </v>
      </c>
      <c r="G860" t="str">
        <f>CLEAN("R/E")</f>
        <v>R/E</v>
      </c>
      <c r="H860" t="str">
        <f>CLEAN("NONLET CONSTR/REAL ESTATE")</f>
        <v>NONLET CONSTR/REAL ESTATE</v>
      </c>
      <c r="I860" t="str">
        <f>CLEAN("REAL ESTATE/RESURFACE              ")</f>
        <v xml:space="preserve">REAL ESTATE/RESURFACE              </v>
      </c>
      <c r="J860" t="str">
        <f>CLEAN("STH 049")</f>
        <v>STH 049</v>
      </c>
      <c r="K860" t="str">
        <f>CLEAN("WAUSHARA                      ")</f>
        <v xml:space="preserve">WAUSHARA                      </v>
      </c>
      <c r="L860" t="str">
        <f>CLEAN("AURORAVILLE - FREMONT              ")</f>
        <v xml:space="preserve">AURORAVILLE - FREMONT              </v>
      </c>
      <c r="M860" t="str">
        <f>CLEAN("STH 21 TO BEECHNUT LANE            ")</f>
        <v xml:space="preserve">STH 21 TO BEECHNUT LANE            </v>
      </c>
      <c r="N860">
        <v>6.4</v>
      </c>
      <c r="O860" t="str">
        <f>CLEAN("          ")</f>
        <v xml:space="preserve">          </v>
      </c>
      <c r="P860" t="str">
        <f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861" spans="1:16" x14ac:dyDescent="0.25">
      <c r="A861" t="str">
        <f t="shared" si="352"/>
        <v>10</v>
      </c>
      <c r="B861" t="str">
        <f>CLEAN("21")</f>
        <v>21</v>
      </c>
      <c r="C861" s="1">
        <v>46063</v>
      </c>
      <c r="D861" t="str">
        <f>CLEAN("6218-00-74")</f>
        <v>6218-00-74</v>
      </c>
      <c r="E861" t="str">
        <f>CLEAN("206  ")</f>
        <v xml:space="preserve">206  </v>
      </c>
      <c r="F861" t="str">
        <f>CLEAN("$6,000,000 - $6,999,999  ")</f>
        <v xml:space="preserve">$6,000,000 - $6,999,999  </v>
      </c>
      <c r="G861" t="str">
        <f>CLEAN("LET")</f>
        <v>LET</v>
      </c>
      <c r="H861" t="str">
        <f>CLEAN("LET CONSTRUCTION         ")</f>
        <v xml:space="preserve">LET CONSTRUCTION         </v>
      </c>
      <c r="I861" t="str">
        <f>CLEAN("CONST OPS/RECONDITION              ")</f>
        <v xml:space="preserve">CONST OPS/RECONDITION              </v>
      </c>
      <c r="J861" t="str">
        <f>CLEAN("CTH V  ")</f>
        <v xml:space="preserve">CTH V  </v>
      </c>
      <c r="K861" t="str">
        <f>CLEAN("DANE                          ")</f>
        <v xml:space="preserve">DANE                          </v>
      </c>
      <c r="L861" t="str">
        <f>CLEAN("WINDSOR - BRISTOL                  ")</f>
        <v xml:space="preserve">WINDSOR - BRISTOL                  </v>
      </c>
      <c r="M861" t="str">
        <f>CLEAN("SNOWY OWL COURT TO CTH N           ")</f>
        <v xml:space="preserve">SNOWY OWL COURT TO CTH N           </v>
      </c>
      <c r="N861">
        <v>5.4</v>
      </c>
      <c r="O861" t="str">
        <f>CLEAN("          ")</f>
        <v xml:space="preserve">          </v>
      </c>
      <c r="P861" t="str">
        <f>CLEAN("STP RURAL                                                                                           ")</f>
        <v xml:space="preserve">STP RURAL                                                                                           </v>
      </c>
    </row>
    <row r="862" spans="1:16" x14ac:dyDescent="0.25">
      <c r="A862" t="str">
        <f t="shared" si="352"/>
        <v>10</v>
      </c>
      <c r="B862" t="str">
        <f>CLEAN("24")</f>
        <v>24</v>
      </c>
      <c r="C862" s="1">
        <v>45972</v>
      </c>
      <c r="D862" t="str">
        <f>CLEAN("6220-04-76")</f>
        <v>6220-04-76</v>
      </c>
      <c r="E862" t="str">
        <f t="shared" ref="E862:E867" si="353">CLEAN("303  ")</f>
        <v xml:space="preserve">303  </v>
      </c>
      <c r="F862" t="str">
        <f>CLEAN("$3,000,000 - $3,999,999  ")</f>
        <v xml:space="preserve">$3,000,000 - $3,999,999  </v>
      </c>
      <c r="G862" t="str">
        <f>CLEAN("LET")</f>
        <v>LET</v>
      </c>
      <c r="H862" t="str">
        <f>CLEAN("LET CONSTRUCTION         ")</f>
        <v xml:space="preserve">LET CONSTRUCTION         </v>
      </c>
      <c r="I862" t="str">
        <f>CLEAN("CONST/PAVEMENT REPLACEMENT         ")</f>
        <v xml:space="preserve">CONST/PAVEMENT REPLACEMENT         </v>
      </c>
      <c r="J862" t="str">
        <f>CLEAN("STH 054")</f>
        <v>STH 054</v>
      </c>
      <c r="K862" t="str">
        <f>CLEAN("WAUPACA                       ")</f>
        <v xml:space="preserve">WAUPACA                       </v>
      </c>
      <c r="L862" t="str">
        <f>CLEAN("NEW LONDON - BLACK CREEK           ")</f>
        <v xml:space="preserve">NEW LONDON - BLACK CREEK           </v>
      </c>
      <c r="M862" t="str">
        <f>CLEAN("W JEANNE STREET TO CTH S           ")</f>
        <v xml:space="preserve">W JEANNE STREET TO CTH S           </v>
      </c>
      <c r="N862">
        <v>0.91700000000000004</v>
      </c>
      <c r="O862" t="str">
        <f>CLEAN("1140-00-77")</f>
        <v>1140-00-77</v>
      </c>
      <c r="P862" t="str">
        <f t="shared" ref="P862:P867" si="354"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863" spans="1:16" x14ac:dyDescent="0.25">
      <c r="A863" t="str">
        <f t="shared" si="352"/>
        <v>10</v>
      </c>
      <c r="B863" t="str">
        <f>CLEAN("21")</f>
        <v>21</v>
      </c>
      <c r="C863" s="1">
        <v>46035</v>
      </c>
      <c r="D863" t="str">
        <f>CLEAN("6235-01-73")</f>
        <v>6235-01-73</v>
      </c>
      <c r="E863" t="str">
        <f t="shared" si="353"/>
        <v xml:space="preserve">303  </v>
      </c>
      <c r="F863" t="str">
        <f>CLEAN("$1,000,000 - $1,999,999  ")</f>
        <v xml:space="preserve">$1,000,000 - $1,999,999  </v>
      </c>
      <c r="G863" t="str">
        <f>CLEAN("LET")</f>
        <v>LET</v>
      </c>
      <c r="H863" t="str">
        <f>CLEAN("LET CONSTRUCTION         ")</f>
        <v xml:space="preserve">LET CONSTRUCTION         </v>
      </c>
      <c r="I863" t="str">
        <f>CLEAN("CONSTRUCTION/ RSRF30               ")</f>
        <v xml:space="preserve">CONSTRUCTION/ RSRF30               </v>
      </c>
      <c r="J863" t="str">
        <f>CLEAN("STH 026")</f>
        <v>STH 026</v>
      </c>
      <c r="K863" t="str">
        <f>CLEAN("DODGE                         ")</f>
        <v xml:space="preserve">DODGE                         </v>
      </c>
      <c r="L863" t="str">
        <f>CLEAN("WATERTOWN - WAUPUN                 ")</f>
        <v xml:space="preserve">WATERTOWN - WAUPUN                 </v>
      </c>
      <c r="M863" t="str">
        <f>CLEAN("0.2 MI S OF MILLIGAN RD TO DOTY ST ")</f>
        <v xml:space="preserve">0.2 MI S OF MILLIGAN RD TO DOTY ST </v>
      </c>
      <c r="N863">
        <v>1.9330000000000001</v>
      </c>
      <c r="O863" t="str">
        <f>CLEAN("          ")</f>
        <v xml:space="preserve">          </v>
      </c>
      <c r="P863" t="str">
        <f t="shared" si="354"/>
        <v xml:space="preserve">STATE 3R                                                                                            </v>
      </c>
    </row>
    <row r="864" spans="1:16" x14ac:dyDescent="0.25">
      <c r="A864" t="str">
        <f t="shared" si="352"/>
        <v>10</v>
      </c>
      <c r="B864" t="str">
        <f>CLEAN("24")</f>
        <v>24</v>
      </c>
      <c r="C864" s="1">
        <v>46035</v>
      </c>
      <c r="D864" t="str">
        <f>CLEAN("6250-02-73")</f>
        <v>6250-02-73</v>
      </c>
      <c r="E864" t="str">
        <f t="shared" si="353"/>
        <v xml:space="preserve">303  </v>
      </c>
      <c r="F864" t="str">
        <f>CLEAN("$4,000,000 - $4,999,999  ")</f>
        <v xml:space="preserve">$4,000,000 - $4,999,999  </v>
      </c>
      <c r="G864" t="str">
        <f>CLEAN("LET")</f>
        <v>LET</v>
      </c>
      <c r="H864" t="str">
        <f>CLEAN("LET CONSTRUCTION         ")</f>
        <v xml:space="preserve">LET CONSTRUCTION         </v>
      </c>
      <c r="I864" t="str">
        <f>CLEAN("CONST/RESURFACE                    ")</f>
        <v xml:space="preserve">CONST/RESURFACE                    </v>
      </c>
      <c r="J864" t="str">
        <f>CLEAN("STH 022")</f>
        <v>STH 022</v>
      </c>
      <c r="K864" t="str">
        <f>CLEAN("WAUPACA                       ")</f>
        <v xml:space="preserve">WAUPACA                       </v>
      </c>
      <c r="L864" t="str">
        <f>CLEAN("CLINTONVILLE - SHAWANO             ")</f>
        <v xml:space="preserve">CLINTONVILLE - SHAWANO             </v>
      </c>
      <c r="M864" t="str">
        <f>CLEAN("STH 156 TO LAKE WAGNER ROAD        ")</f>
        <v xml:space="preserve">STH 156 TO LAKE WAGNER ROAD        </v>
      </c>
      <c r="N864">
        <v>4.42</v>
      </c>
      <c r="O864" t="str">
        <f>CLEAN("6250-02-83")</f>
        <v>6250-02-83</v>
      </c>
      <c r="P864" t="str">
        <f t="shared" si="354"/>
        <v xml:space="preserve">STATE 3R                                                                                            </v>
      </c>
    </row>
    <row r="865" spans="1:16" x14ac:dyDescent="0.25">
      <c r="A865" t="str">
        <f t="shared" si="352"/>
        <v>10</v>
      </c>
      <c r="B865" t="str">
        <f>CLEAN("24")</f>
        <v>24</v>
      </c>
      <c r="C865" s="1">
        <v>46035</v>
      </c>
      <c r="D865" t="str">
        <f>CLEAN("6250-02-83")</f>
        <v>6250-02-83</v>
      </c>
      <c r="E865" t="str">
        <f t="shared" si="353"/>
        <v xml:space="preserve">303  </v>
      </c>
      <c r="F865" t="str">
        <f>CLEAN("$2,000,000 - $2,999,999  ")</f>
        <v xml:space="preserve">$2,000,000 - $2,999,999  </v>
      </c>
      <c r="G865" t="str">
        <f>CLEAN("LET")</f>
        <v>LET</v>
      </c>
      <c r="H865" t="str">
        <f>CLEAN("LET CONSTRUCTION         ")</f>
        <v xml:space="preserve">LET CONSTRUCTION         </v>
      </c>
      <c r="I865" t="str">
        <f>CLEAN("CONST/LOCAL UTILITIES/RESURFACE    ")</f>
        <v xml:space="preserve">CONST/LOCAL UTILITIES/RESURFACE    </v>
      </c>
      <c r="J865" t="str">
        <f>CLEAN("STH 022")</f>
        <v>STH 022</v>
      </c>
      <c r="K865" t="str">
        <f>CLEAN("WAUPACA                       ")</f>
        <v xml:space="preserve">WAUPACA                       </v>
      </c>
      <c r="L865" t="str">
        <f>CLEAN("CLINTONVILLE - SHAWANO             ")</f>
        <v xml:space="preserve">CLINTONVILLE - SHAWANO             </v>
      </c>
      <c r="M865" t="str">
        <f>CLEAN("STH 156 TO LAKE WAGNER ROAD        ")</f>
        <v xml:space="preserve">STH 156 TO LAKE WAGNER ROAD        </v>
      </c>
      <c r="N865">
        <v>1.2490000000000001</v>
      </c>
      <c r="O865" t="str">
        <f>CLEAN("6250-02-73")</f>
        <v>6250-02-73</v>
      </c>
      <c r="P865" t="str">
        <f t="shared" si="354"/>
        <v xml:space="preserve">STATE 3R                                                                                            </v>
      </c>
    </row>
    <row r="866" spans="1:16" x14ac:dyDescent="0.25">
      <c r="A866" t="str">
        <f t="shared" si="352"/>
        <v>10</v>
      </c>
      <c r="B866" t="str">
        <f>CLEAN("24")</f>
        <v>24</v>
      </c>
      <c r="C866" s="1">
        <v>45894</v>
      </c>
      <c r="D866" t="str">
        <f>CLEAN("6260-00-22")</f>
        <v>6260-00-22</v>
      </c>
      <c r="E866" t="str">
        <f t="shared" si="353"/>
        <v xml:space="preserve">303  </v>
      </c>
      <c r="F866" t="str">
        <f>CLEAN("$0 - $99,999             ")</f>
        <v xml:space="preserve">$0 - $99,999             </v>
      </c>
      <c r="G866" t="str">
        <f>CLEAN("R/E")</f>
        <v>R/E</v>
      </c>
      <c r="H866" t="str">
        <f>CLEAN("NONLET CONSTR/REAL ESTATE")</f>
        <v>NONLET CONSTR/REAL ESTATE</v>
      </c>
      <c r="I866" t="str">
        <f>CLEAN("REAL ESTATE/RESURFACE              ")</f>
        <v xml:space="preserve">REAL ESTATE/RESURFACE              </v>
      </c>
      <c r="J866" t="str">
        <f>CLEAN("STH 161")</f>
        <v>STH 161</v>
      </c>
      <c r="K866" t="str">
        <f>CLEAN("WAUPACA                       ")</f>
        <v xml:space="preserve">WAUPACA                       </v>
      </c>
      <c r="L866" t="str">
        <f>CLEAN("IOLA - STH 22/110                  ")</f>
        <v xml:space="preserve">IOLA - STH 22/110                  </v>
      </c>
      <c r="M866" t="str">
        <f>CLEAN("STH 49 SB TO STH 110               ")</f>
        <v xml:space="preserve">STH 49 SB TO STH 110               </v>
      </c>
      <c r="N866">
        <v>10.34</v>
      </c>
      <c r="O866" t="str">
        <f t="shared" ref="O866:O889" si="355">CLEAN("          ")</f>
        <v xml:space="preserve">          </v>
      </c>
      <c r="P866" t="str">
        <f t="shared" si="354"/>
        <v xml:space="preserve">STATE 3R                                                                                            </v>
      </c>
    </row>
    <row r="867" spans="1:16" x14ac:dyDescent="0.25">
      <c r="A867" t="str">
        <f t="shared" si="352"/>
        <v>10</v>
      </c>
      <c r="B867" t="str">
        <f>CLEAN("24")</f>
        <v>24</v>
      </c>
      <c r="C867" s="1">
        <v>45955</v>
      </c>
      <c r="D867" t="str">
        <f>CLEAN("6270-00-27")</f>
        <v>6270-00-27</v>
      </c>
      <c r="E867" t="str">
        <f t="shared" si="353"/>
        <v xml:space="preserve">303  </v>
      </c>
      <c r="F867" t="str">
        <f>CLEAN("$0 - $99,999             ")</f>
        <v xml:space="preserve">$0 - $99,999             </v>
      </c>
      <c r="G867" t="str">
        <f>CLEAN("R/E")</f>
        <v>R/E</v>
      </c>
      <c r="H867" t="str">
        <f>CLEAN("NONLET CONSTR/REAL ESTATE")</f>
        <v>NONLET CONSTR/REAL ESTATE</v>
      </c>
      <c r="I867" t="str">
        <f>CLEAN("REAL ESTATE/RESURFACE              ")</f>
        <v xml:space="preserve">REAL ESTATE/RESURFACE              </v>
      </c>
      <c r="J867" t="str">
        <f>CLEAN("STH 049")</f>
        <v>STH 049</v>
      </c>
      <c r="K867" t="str">
        <f>CLEAN("MARATHON                      ")</f>
        <v xml:space="preserve">MARATHON                      </v>
      </c>
      <c r="L867" t="str">
        <f>CLEAN("NORTHLAND - STH 29                 ")</f>
        <v xml:space="preserve">NORTHLAND - STH 29                 </v>
      </c>
      <c r="M867" t="str">
        <f>CLEAN("CTH C TO STH 29                    ")</f>
        <v xml:space="preserve">CTH C TO STH 29                    </v>
      </c>
      <c r="N867">
        <v>8.3879999999999999</v>
      </c>
      <c r="O867" t="str">
        <f t="shared" si="355"/>
        <v xml:space="preserve">          </v>
      </c>
      <c r="P867" t="str">
        <f t="shared" si="354"/>
        <v xml:space="preserve">STATE 3R                                                                                            </v>
      </c>
    </row>
    <row r="868" spans="1:16" x14ac:dyDescent="0.25">
      <c r="A868" t="str">
        <f t="shared" si="352"/>
        <v>10</v>
      </c>
      <c r="B868" t="str">
        <f>CLEAN("21")</f>
        <v>21</v>
      </c>
      <c r="C868" s="1">
        <v>45909</v>
      </c>
      <c r="D868" t="str">
        <f>CLEAN("6316-00-70")</f>
        <v>6316-00-70</v>
      </c>
      <c r="E868" t="str">
        <f>CLEAN("206  ")</f>
        <v xml:space="preserve">206  </v>
      </c>
      <c r="F868" t="str">
        <f>CLEAN("$6,000,000 - $6,999,999  ")</f>
        <v xml:space="preserve">$6,000,000 - $6,999,999  </v>
      </c>
      <c r="G868" t="str">
        <f>CLEAN("LET")</f>
        <v>LET</v>
      </c>
      <c r="H868" t="str">
        <f>CLEAN("LET CONSTRUCTION         ")</f>
        <v xml:space="preserve">LET CONSTRUCTION         </v>
      </c>
      <c r="I868" t="str">
        <f>CLEAN("CONST OPS/PVRPLA                   ")</f>
        <v xml:space="preserve">CONST OPS/PVRPLA                   </v>
      </c>
      <c r="J868" t="str">
        <f>CLEAN("CTH A  ")</f>
        <v xml:space="preserve">CTH A  </v>
      </c>
      <c r="K868" t="str">
        <f>CLEAN("DODGE                         ")</f>
        <v xml:space="preserve">DODGE                         </v>
      </c>
      <c r="L868" t="str">
        <f>CLEAN("T FOX LAKE - T TRENTON (CTH A)     ")</f>
        <v xml:space="preserve">T FOX LAKE - T TRENTON (CTH A)     </v>
      </c>
      <c r="M868" t="str">
        <f>CLEAN("STH 68 TO USH 151                  ")</f>
        <v xml:space="preserve">STH 68 TO USH 151                  </v>
      </c>
      <c r="N868">
        <v>6.1040000000000001</v>
      </c>
      <c r="O868" t="str">
        <f t="shared" si="355"/>
        <v xml:space="preserve">          </v>
      </c>
      <c r="P868" t="str">
        <f>CLEAN("STP RURAL                                                                                           ")</f>
        <v xml:space="preserve">STP RURAL                                                                                           </v>
      </c>
    </row>
    <row r="869" spans="1:16" x14ac:dyDescent="0.25">
      <c r="A869" t="str">
        <f t="shared" si="352"/>
        <v>10</v>
      </c>
      <c r="B869" t="str">
        <f>CLEAN("24")</f>
        <v>24</v>
      </c>
      <c r="C869" s="1">
        <v>46217</v>
      </c>
      <c r="D869" t="str">
        <f>CLEAN("6320-08-73")</f>
        <v>6320-08-73</v>
      </c>
      <c r="E869" t="str">
        <f t="shared" ref="E869:E874" si="356">CLEAN("303  ")</f>
        <v xml:space="preserve">303  </v>
      </c>
      <c r="F869" t="str">
        <f>CLEAN("$1,000,000 - $1,999,999  ")</f>
        <v xml:space="preserve">$1,000,000 - $1,999,999  </v>
      </c>
      <c r="G869" t="str">
        <f>CLEAN("LET")</f>
        <v>LET</v>
      </c>
      <c r="H869" t="str">
        <f>CLEAN("LET CONSTRUCTION         ")</f>
        <v xml:space="preserve">LET CONSTRUCTION         </v>
      </c>
      <c r="I869" t="str">
        <f>CLEAN("CONST/RESURFACE                    ")</f>
        <v xml:space="preserve">CONST/RESURFACE                    </v>
      </c>
      <c r="J869" t="str">
        <f>CLEAN("STH 073")</f>
        <v>STH 073</v>
      </c>
      <c r="K869" t="str">
        <f>CLEAN("WOOD                          ")</f>
        <v xml:space="preserve">WOOD                          </v>
      </c>
      <c r="L869" t="str">
        <f>CLEAN("PLAINFIELD - WISCONSIN RAPIDS      ")</f>
        <v xml:space="preserve">PLAINFIELD - WISCONSIN RAPIDS      </v>
      </c>
      <c r="M869" t="str">
        <f>CLEAN("CTH U TO STH 13                    ")</f>
        <v xml:space="preserve">CTH U TO STH 13                    </v>
      </c>
      <c r="N869">
        <v>5.93</v>
      </c>
      <c r="O869" t="str">
        <f t="shared" si="355"/>
        <v xml:space="preserve">          </v>
      </c>
      <c r="P869" t="str">
        <f t="shared" ref="P869:P874" si="357"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870" spans="1:16" x14ac:dyDescent="0.25">
      <c r="A870" t="str">
        <f t="shared" si="352"/>
        <v>10</v>
      </c>
      <c r="B870" t="str">
        <f>CLEAN("24")</f>
        <v>24</v>
      </c>
      <c r="C870" s="1">
        <v>45909</v>
      </c>
      <c r="D870" t="str">
        <f>CLEAN("6340-00-74")</f>
        <v>6340-00-74</v>
      </c>
      <c r="E870" t="str">
        <f t="shared" si="356"/>
        <v xml:space="preserve">303  </v>
      </c>
      <c r="F870" t="str">
        <f>CLEAN("$8,000,000 - $8,999,999  ")</f>
        <v xml:space="preserve">$8,000,000 - $8,999,999  </v>
      </c>
      <c r="G870" t="str">
        <f>CLEAN("LET")</f>
        <v>LET</v>
      </c>
      <c r="H870" t="str">
        <f>CLEAN("LET CONSTRUCTION         ")</f>
        <v xml:space="preserve">LET CONSTRUCTION         </v>
      </c>
      <c r="I870" t="str">
        <f>CLEAN("CONST/PVRPLA                       ")</f>
        <v xml:space="preserve">CONST/PVRPLA                       </v>
      </c>
      <c r="J870" t="str">
        <f>CLEAN("STH 013")</f>
        <v>STH 013</v>
      </c>
      <c r="K870" t="str">
        <f>CLEAN("PORTAGE                       ")</f>
        <v xml:space="preserve">PORTAGE                       </v>
      </c>
      <c r="L870" t="str">
        <f>CLEAN("RUDOLPH - MARSHFIELD               ")</f>
        <v xml:space="preserve">RUDOLPH - MARSHFIELD               </v>
      </c>
      <c r="M870" t="str">
        <f>CLEAN("2ND STREET NORTH TO CTH P          ")</f>
        <v xml:space="preserve">2ND STREET NORTH TO CTH P          </v>
      </c>
      <c r="N870">
        <v>6.46</v>
      </c>
      <c r="O870" t="str">
        <f t="shared" si="355"/>
        <v xml:space="preserve">          </v>
      </c>
      <c r="P870" t="str">
        <f t="shared" si="357"/>
        <v xml:space="preserve">STATE 3R                                                                                            </v>
      </c>
    </row>
    <row r="871" spans="1:16" x14ac:dyDescent="0.25">
      <c r="A871" t="str">
        <f t="shared" si="352"/>
        <v>10</v>
      </c>
      <c r="B871" t="str">
        <f>CLEAN("24")</f>
        <v>24</v>
      </c>
      <c r="C871" s="1">
        <v>46000</v>
      </c>
      <c r="D871" t="str">
        <f>CLEAN("6360-05-75")</f>
        <v>6360-05-75</v>
      </c>
      <c r="E871" t="str">
        <f t="shared" si="356"/>
        <v xml:space="preserve">303  </v>
      </c>
      <c r="F871" t="str">
        <f>CLEAN("$1,000,000 - $1,999,999  ")</f>
        <v xml:space="preserve">$1,000,000 - $1,999,999  </v>
      </c>
      <c r="G871" t="str">
        <f>CLEAN("LET")</f>
        <v>LET</v>
      </c>
      <c r="H871" t="str">
        <f>CLEAN("LET CONSTRUCTION         ")</f>
        <v xml:space="preserve">LET CONSTRUCTION         </v>
      </c>
      <c r="I871" t="str">
        <f>CLEAN("CONST/RESURFACE                    ")</f>
        <v xml:space="preserve">CONST/RESURFACE                    </v>
      </c>
      <c r="J871" t="str">
        <f>CLEAN("STH 107")</f>
        <v>STH 107</v>
      </c>
      <c r="K871" t="str">
        <f>CLEAN("MARATHON                      ")</f>
        <v xml:space="preserve">MARATHON                      </v>
      </c>
      <c r="L871" t="str">
        <f>CLEAN("V MARATHON CITY, MAIN STREET       ")</f>
        <v xml:space="preserve">V MARATHON CITY, MAIN STREET       </v>
      </c>
      <c r="M871" t="str">
        <f>CLEAN("CTH B TO NORTH STREET              ")</f>
        <v xml:space="preserve">CTH B TO NORTH STREET              </v>
      </c>
      <c r="N871">
        <v>0.49299999999999999</v>
      </c>
      <c r="O871" t="str">
        <f t="shared" si="355"/>
        <v xml:space="preserve">          </v>
      </c>
      <c r="P871" t="str">
        <f t="shared" si="357"/>
        <v xml:space="preserve">STATE 3R                                                                                            </v>
      </c>
    </row>
    <row r="872" spans="1:16" x14ac:dyDescent="0.25">
      <c r="A872" t="str">
        <f t="shared" si="352"/>
        <v>10</v>
      </c>
      <c r="B872" t="str">
        <f>CLEAN("24")</f>
        <v>24</v>
      </c>
      <c r="C872" s="1">
        <v>46167</v>
      </c>
      <c r="D872" t="str">
        <f>CLEAN("6370-00-24")</f>
        <v>6370-00-24</v>
      </c>
      <c r="E872" t="str">
        <f t="shared" si="356"/>
        <v xml:space="preserve">303  </v>
      </c>
      <c r="F872" t="str">
        <f>CLEAN("$0 - $99,999             ")</f>
        <v xml:space="preserve">$0 - $99,999             </v>
      </c>
      <c r="G872" t="str">
        <f>CLEAN("R/E")</f>
        <v>R/E</v>
      </c>
      <c r="H872" t="str">
        <f>CLEAN("NONLET CONSTR/REAL ESTATE")</f>
        <v>NONLET CONSTR/REAL ESTATE</v>
      </c>
      <c r="I872" t="str">
        <f>CLEAN("REAL ESTATE/RESURFACE              ")</f>
        <v xml:space="preserve">REAL ESTATE/RESURFACE              </v>
      </c>
      <c r="J872" t="str">
        <f>CLEAN("STH 153")</f>
        <v>STH 153</v>
      </c>
      <c r="K872" t="str">
        <f>CLEAN("MARATHON                      ")</f>
        <v xml:space="preserve">MARATHON                      </v>
      </c>
      <c r="L872" t="str">
        <f>CLEAN("STRATFORD - ELDERON                ")</f>
        <v xml:space="preserve">STRATFORD - ELDERON                </v>
      </c>
      <c r="M872" t="str">
        <f>CLEAN("WISCONSIN RIVER BRIDGE TO OLD 51 RD")</f>
        <v>WISCONSIN RIVER BRIDGE TO OLD 51 RD</v>
      </c>
      <c r="N872">
        <v>0.51500000000000001</v>
      </c>
      <c r="O872" t="str">
        <f t="shared" si="355"/>
        <v xml:space="preserve">          </v>
      </c>
      <c r="P872" t="str">
        <f t="shared" si="357"/>
        <v xml:space="preserve">STATE 3R                                                                                            </v>
      </c>
    </row>
    <row r="873" spans="1:16" x14ac:dyDescent="0.25">
      <c r="A873" t="str">
        <f t="shared" si="352"/>
        <v>10</v>
      </c>
      <c r="B873" t="str">
        <f t="shared" ref="B873:B878" si="358">CLEAN("23")</f>
        <v>23</v>
      </c>
      <c r="C873" s="1">
        <v>46016</v>
      </c>
      <c r="D873" t="str">
        <f>CLEAN("6430-21-20")</f>
        <v>6430-21-20</v>
      </c>
      <c r="E873" t="str">
        <f t="shared" si="356"/>
        <v xml:space="preserve">303  </v>
      </c>
      <c r="F873" t="str">
        <f>CLEAN("$0 - $99,999             ")</f>
        <v xml:space="preserve">$0 - $99,999             </v>
      </c>
      <c r="G873" t="str">
        <f>CLEAN("R/E")</f>
        <v>R/E</v>
      </c>
      <c r="H873" t="str">
        <f>CLEAN("NONLET CONSTR/REAL ESTATE")</f>
        <v>NONLET CONSTR/REAL ESTATE</v>
      </c>
      <c r="I873" t="str">
        <f>CLEAN("RE OPS/RSRF25                      ")</f>
        <v xml:space="preserve">RE OPS/RSRF25                      </v>
      </c>
      <c r="J873" t="str">
        <f>CLEAN("STH 076")</f>
        <v>STH 076</v>
      </c>
      <c r="K873" t="str">
        <f>CLEAN("WINNEBAGO                     ")</f>
        <v xml:space="preserve">WINNEBAGO                     </v>
      </c>
      <c r="L873" t="str">
        <f>CLEAN("OSHKOSH - GREENVILLE               ")</f>
        <v xml:space="preserve">OSHKOSH - GREENVILLE               </v>
      </c>
      <c r="M873" t="str">
        <f>CLEAN("MURDOCK AVENUE - IH 41             ")</f>
        <v xml:space="preserve">MURDOCK AVENUE - IH 41             </v>
      </c>
      <c r="N873">
        <v>3.87</v>
      </c>
      <c r="O873" t="str">
        <f t="shared" si="355"/>
        <v xml:space="preserve">          </v>
      </c>
      <c r="P873" t="str">
        <f t="shared" si="357"/>
        <v xml:space="preserve">STATE 3R                                                                                            </v>
      </c>
    </row>
    <row r="874" spans="1:16" x14ac:dyDescent="0.25">
      <c r="A874" t="str">
        <f t="shared" si="352"/>
        <v>10</v>
      </c>
      <c r="B874" t="str">
        <f t="shared" si="358"/>
        <v>23</v>
      </c>
      <c r="C874" s="1">
        <v>46228</v>
      </c>
      <c r="D874" t="str">
        <f>CLEAN("6430-21-51")</f>
        <v>6430-21-51</v>
      </c>
      <c r="E874" t="str">
        <f t="shared" si="356"/>
        <v xml:space="preserve">303  </v>
      </c>
      <c r="F874" t="str">
        <f>CLEAN("$250,000 - $499,999      ")</f>
        <v xml:space="preserve">$250,000 - $499,999      </v>
      </c>
      <c r="G874" t="str">
        <f>CLEAN("R/R")</f>
        <v>R/R</v>
      </c>
      <c r="H874" t="str">
        <f>CLEAN("NONLET CONSTR/REAL ESTATE")</f>
        <v>NONLET CONSTR/REAL ESTATE</v>
      </c>
      <c r="I874" t="str">
        <f>CLEAN("CONST/RR CROSSING OSHKOSH SPUR     ")</f>
        <v xml:space="preserve">CONST/RR CROSSING OSHKOSH SPUR     </v>
      </c>
      <c r="J874" t="str">
        <f>CLEAN("STH 076")</f>
        <v>STH 076</v>
      </c>
      <c r="K874" t="str">
        <f>CLEAN("WINNEBAGO                     ")</f>
        <v xml:space="preserve">WINNEBAGO                     </v>
      </c>
      <c r="L874" t="str">
        <f>CLEAN("OSHKOSH - GREENVILLE               ")</f>
        <v xml:space="preserve">OSHKOSH - GREENVILLE               </v>
      </c>
      <c r="M874" t="str">
        <f>CLEAN("WCL RR XING SIGNALS &amp; GATES 179802X")</f>
        <v>WCL RR XING SIGNALS &amp; GATES 179802X</v>
      </c>
      <c r="N874">
        <v>3</v>
      </c>
      <c r="O874" t="str">
        <f t="shared" si="355"/>
        <v xml:space="preserve">          </v>
      </c>
      <c r="P874" t="str">
        <f t="shared" si="357"/>
        <v xml:space="preserve">STATE 3R                                                                                            </v>
      </c>
    </row>
    <row r="875" spans="1:16" x14ac:dyDescent="0.25">
      <c r="A875" t="str">
        <f t="shared" si="352"/>
        <v>10</v>
      </c>
      <c r="B875" t="str">
        <f t="shared" si="358"/>
        <v>23</v>
      </c>
      <c r="C875" s="1">
        <v>46000</v>
      </c>
      <c r="D875" t="str">
        <f>CLEAN("6446-01-70")</f>
        <v>6446-01-70</v>
      </c>
      <c r="E875" t="str">
        <f>CLEAN("205  ")</f>
        <v xml:space="preserve">205  </v>
      </c>
      <c r="F875" t="str">
        <f>CLEAN("$250,000 - $499,999      ")</f>
        <v xml:space="preserve">$250,000 - $499,999      </v>
      </c>
      <c r="G875" t="str">
        <f>CLEAN("LET")</f>
        <v>LET</v>
      </c>
      <c r="H875" t="str">
        <f>CLEAN("LET CONSTRUCTION         ")</f>
        <v xml:space="preserve">LET CONSTRUCTION         </v>
      </c>
      <c r="I875" t="str">
        <f>CLEAN("CONST OPS/BRRPL P-70-0049          ")</f>
        <v xml:space="preserve">CONST OPS/BRRPL P-70-0049          </v>
      </c>
      <c r="J875" t="str">
        <f>CLEAN("LOC STR")</f>
        <v>LOC STR</v>
      </c>
      <c r="K875" t="str">
        <f>CLEAN("WINNEBAGO                     ")</f>
        <v xml:space="preserve">WINNEBAGO                     </v>
      </c>
      <c r="L875" t="str">
        <f>CLEAN("T WOLF RIVER, APACHE AVENUE        ")</f>
        <v xml:space="preserve">T WOLF RIVER, APACHE AVENUE        </v>
      </c>
      <c r="M875" t="str">
        <f>CLEAN("ALDER CREEK BRIDGE                 ")</f>
        <v xml:space="preserve">ALDER CREEK BRIDGE                 </v>
      </c>
      <c r="N875">
        <v>7.0000000000000001E-3</v>
      </c>
      <c r="O875" t="str">
        <f t="shared" si="355"/>
        <v xml:space="preserve">          </v>
      </c>
      <c r="P875" t="str">
        <f>CLEAN("LOCAL BRIDGES                                                                                       ")</f>
        <v xml:space="preserve">LOCAL BRIDGES                                                                                       </v>
      </c>
    </row>
    <row r="876" spans="1:16" x14ac:dyDescent="0.25">
      <c r="A876" t="str">
        <f t="shared" si="352"/>
        <v>10</v>
      </c>
      <c r="B876" t="str">
        <f t="shared" si="358"/>
        <v>23</v>
      </c>
      <c r="C876" s="1">
        <v>46245</v>
      </c>
      <c r="D876" t="str">
        <f>CLEAN("6500-04-71")</f>
        <v>6500-04-71</v>
      </c>
      <c r="E876" t="str">
        <f>CLEAN("205  ")</f>
        <v xml:space="preserve">205  </v>
      </c>
      <c r="F876" t="str">
        <f>CLEAN("$500,000 - $749,999      ")</f>
        <v xml:space="preserve">$500,000 - $749,999      </v>
      </c>
      <c r="G876" t="str">
        <f>CLEAN("LET")</f>
        <v>LET</v>
      </c>
      <c r="H876" t="str">
        <f>CLEAN("LET CONSTRUCTION         ")</f>
        <v xml:space="preserve">LET CONSTRUCTION         </v>
      </c>
      <c r="I876" t="str">
        <f>CLEAN("CONST OPS/BRRPL/P440924            ")</f>
        <v xml:space="preserve">CONST OPS/BRRPL/P440924            </v>
      </c>
      <c r="J876" t="str">
        <f>CLEAN("LOC STR")</f>
        <v>LOC STR</v>
      </c>
      <c r="K876" t="str">
        <f>CLEAN("OUTAGAMIE                     ")</f>
        <v xml:space="preserve">OUTAGAMIE                     </v>
      </c>
      <c r="L876" t="str">
        <f>CLEAN("T VANDENBROEK, BUCHANAN ROAD       ")</f>
        <v xml:space="preserve">T VANDENBROEK, BUCHANAN ROAD       </v>
      </c>
      <c r="M876" t="str">
        <f>CLEAN("APPLE CREEK BRIDGE                 ")</f>
        <v xml:space="preserve">APPLE CREEK BRIDGE                 </v>
      </c>
      <c r="N876">
        <v>2.8000000000000001E-2</v>
      </c>
      <c r="O876" t="str">
        <f t="shared" si="355"/>
        <v xml:space="preserve">          </v>
      </c>
      <c r="P876" t="str">
        <f>CLEAN("LOCAL BRIDGES                                                                                       ")</f>
        <v xml:space="preserve">LOCAL BRIDGES                                                                                       </v>
      </c>
    </row>
    <row r="877" spans="1:16" x14ac:dyDescent="0.25">
      <c r="A877" t="str">
        <f t="shared" si="352"/>
        <v>10</v>
      </c>
      <c r="B877" t="str">
        <f t="shared" si="358"/>
        <v>23</v>
      </c>
      <c r="C877" s="1">
        <v>45894</v>
      </c>
      <c r="D877" t="str">
        <f>CLEAN("6517-16-40")</f>
        <v>6517-16-40</v>
      </c>
      <c r="E877" t="str">
        <f>CLEAN("303  ")</f>
        <v xml:space="preserve">303  </v>
      </c>
      <c r="F877" t="str">
        <f>CLEAN("$0 - $99,999             ")</f>
        <v xml:space="preserve">$0 - $99,999             </v>
      </c>
      <c r="G877" t="str">
        <f>CLEAN("UTL")</f>
        <v>UTL</v>
      </c>
      <c r="H877" t="str">
        <f>CLEAN("NONLET CONSTR/REAL ESTATE")</f>
        <v>NONLET CONSTR/REAL ESTATE</v>
      </c>
      <c r="I877" t="str">
        <f>CLEAN("UTL OPS/RECST                      ")</f>
        <v xml:space="preserve">UTL OPS/RECST                      </v>
      </c>
      <c r="J877" t="str">
        <f>CLEAN("STH 076")</f>
        <v>STH 076</v>
      </c>
      <c r="K877" t="str">
        <f>CLEAN("OUTAGAMIE                     ")</f>
        <v xml:space="preserve">OUTAGAMIE                     </v>
      </c>
      <c r="L877" t="str">
        <f>CLEAN("STH 15 - CTH JJ                    ")</f>
        <v xml:space="preserve">STH 15 - CTH JJ                    </v>
      </c>
      <c r="M877" t="str">
        <f>CLEAN("EVERGLADE ROAD - CTH JJ            ")</f>
        <v xml:space="preserve">EVERGLADE ROAD - CTH JJ            </v>
      </c>
      <c r="N877">
        <v>1.41</v>
      </c>
      <c r="O877" t="str">
        <f t="shared" si="355"/>
        <v xml:space="preserve">          </v>
      </c>
      <c r="P877" t="str">
        <f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878" spans="1:16" x14ac:dyDescent="0.25">
      <c r="A878" t="str">
        <f t="shared" si="352"/>
        <v>10</v>
      </c>
      <c r="B878" t="str">
        <f t="shared" si="358"/>
        <v>23</v>
      </c>
      <c r="C878" s="1">
        <v>46000</v>
      </c>
      <c r="D878" t="str">
        <f>CLEAN("6517-16-71")</f>
        <v>6517-16-71</v>
      </c>
      <c r="E878" t="str">
        <f>CLEAN("303  ")</f>
        <v xml:space="preserve">303  </v>
      </c>
      <c r="F878" t="str">
        <f>CLEAN("$10,000,000 - $10,999,999")</f>
        <v>$10,000,000 - $10,999,999</v>
      </c>
      <c r="G878" t="str">
        <f>CLEAN("LET")</f>
        <v>LET</v>
      </c>
      <c r="H878" t="str">
        <f>CLEAN("LET CONSTRUCTION         ")</f>
        <v xml:space="preserve">LET CONSTRUCTION         </v>
      </c>
      <c r="I878" t="str">
        <f>CLEAN("CONST OPS/RECST                    ")</f>
        <v xml:space="preserve">CONST OPS/RECST                    </v>
      </c>
      <c r="J878" t="str">
        <f>CLEAN("STH 076")</f>
        <v>STH 076</v>
      </c>
      <c r="K878" t="str">
        <f>CLEAN("OUTAGAMIE                     ")</f>
        <v xml:space="preserve">OUTAGAMIE                     </v>
      </c>
      <c r="L878" t="str">
        <f>CLEAN("STH 15 - CTH JJ                    ")</f>
        <v xml:space="preserve">STH 15 - CTH JJ                    </v>
      </c>
      <c r="M878" t="str">
        <f>CLEAN("EVERGLADE ROAD - CTH JJ            ")</f>
        <v xml:space="preserve">EVERGLADE ROAD - CTH JJ            </v>
      </c>
      <c r="N878">
        <v>2.1909999999999998</v>
      </c>
      <c r="O878" t="str">
        <f t="shared" si="355"/>
        <v xml:space="preserve">          </v>
      </c>
      <c r="P878" t="str">
        <f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879" spans="1:16" x14ac:dyDescent="0.25">
      <c r="A879" t="str">
        <f t="shared" si="352"/>
        <v>10</v>
      </c>
      <c r="B879" t="str">
        <f>CLEAN("24")</f>
        <v>24</v>
      </c>
      <c r="C879" s="1">
        <v>46245</v>
      </c>
      <c r="D879" t="str">
        <f>CLEAN("6530-01-70")</f>
        <v>6530-01-70</v>
      </c>
      <c r="E879" t="str">
        <f>CLEAN("303  ")</f>
        <v xml:space="preserve">303  </v>
      </c>
      <c r="F879" t="str">
        <f>CLEAN("$2,000,000 - $2,999,999  ")</f>
        <v xml:space="preserve">$2,000,000 - $2,999,999  </v>
      </c>
      <c r="G879" t="str">
        <f>CLEAN("LET")</f>
        <v>LET</v>
      </c>
      <c r="H879" t="str">
        <f>CLEAN("LET CONSTRUCTION         ")</f>
        <v xml:space="preserve">LET CONSTRUCTION         </v>
      </c>
      <c r="I879" t="str">
        <f>CLEAN("CONST/RESURFACE                    ")</f>
        <v xml:space="preserve">CONST/RESURFACE                    </v>
      </c>
      <c r="J879" t="str">
        <f>CLEAN("STH 073")</f>
        <v>STH 073</v>
      </c>
      <c r="K879" t="str">
        <f>CLEAN("WAUSHARA                      ")</f>
        <v xml:space="preserve">WAUSHARA                      </v>
      </c>
      <c r="L879" t="str">
        <f>CLEAN("PRINCETON - PLAINFIELD             ")</f>
        <v xml:space="preserve">PRINCETON - PLAINFIELD             </v>
      </c>
      <c r="M879" t="str">
        <f>CLEAN("WHITE RIVER BRIDGE TO STH 21       ")</f>
        <v xml:space="preserve">WHITE RIVER BRIDGE TO STH 21       </v>
      </c>
      <c r="N879">
        <v>7.12</v>
      </c>
      <c r="O879" t="str">
        <f t="shared" si="355"/>
        <v xml:space="preserve">          </v>
      </c>
      <c r="P879" t="str">
        <f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880" spans="1:16" x14ac:dyDescent="0.25">
      <c r="A880" t="str">
        <f t="shared" si="352"/>
        <v>10</v>
      </c>
      <c r="B880" t="str">
        <f>CLEAN("24")</f>
        <v>24</v>
      </c>
      <c r="C880" s="1">
        <v>46245</v>
      </c>
      <c r="D880" t="str">
        <f>CLEAN("6536-03-74")</f>
        <v>6536-03-74</v>
      </c>
      <c r="E880" t="str">
        <f>CLEAN("206  ")</f>
        <v xml:space="preserve">206  </v>
      </c>
      <c r="F880" t="str">
        <f>CLEAN("$250,000 - $499,999      ")</f>
        <v xml:space="preserve">$250,000 - $499,999      </v>
      </c>
      <c r="G880" t="str">
        <f>CLEAN("LET")</f>
        <v>LET</v>
      </c>
      <c r="H880" t="str">
        <f>CLEAN("LET CONSTRUCTION         ")</f>
        <v xml:space="preserve">LET CONSTRUCTION         </v>
      </c>
      <c r="I880" t="str">
        <f>CLEAN("CONST/RECONSTRUCT                  ")</f>
        <v xml:space="preserve">CONST/RECONSTRUCT                  </v>
      </c>
      <c r="J880" t="str">
        <f>CLEAN("CTH A  ")</f>
        <v xml:space="preserve">CTH A  </v>
      </c>
      <c r="K880" t="str">
        <f>CLEAN("GREEN LAKE                    ")</f>
        <v xml:space="preserve">GREEN LAKE                    </v>
      </c>
      <c r="L880" t="str">
        <f>CLEAN("CTH J - STH 49                     ")</f>
        <v xml:space="preserve">CTH J - STH 49                     </v>
      </c>
      <c r="M880" t="str">
        <f>CLEAN("CTH AA TO CTH V                    ")</f>
        <v xml:space="preserve">CTH AA TO CTH V                    </v>
      </c>
      <c r="N880">
        <v>1.51</v>
      </c>
      <c r="O880" t="str">
        <f t="shared" si="355"/>
        <v xml:space="preserve">          </v>
      </c>
      <c r="P880" t="str">
        <f>CLEAN("STP RURAL                                                                                           ")</f>
        <v xml:space="preserve">STP RURAL                                                                                           </v>
      </c>
    </row>
    <row r="881" spans="1:16" x14ac:dyDescent="0.25">
      <c r="A881" t="str">
        <f t="shared" si="352"/>
        <v>10</v>
      </c>
      <c r="B881" t="str">
        <f>CLEAN("24")</f>
        <v>24</v>
      </c>
      <c r="C881" s="1">
        <v>45925</v>
      </c>
      <c r="D881" t="str">
        <f>CLEAN("6540-01-23")</f>
        <v>6540-01-23</v>
      </c>
      <c r="E881" t="str">
        <f t="shared" ref="E881:E888" si="359">CLEAN("303  ")</f>
        <v xml:space="preserve">303  </v>
      </c>
      <c r="F881" t="str">
        <f>CLEAN("$0 - $99,999             ")</f>
        <v xml:space="preserve">$0 - $99,999             </v>
      </c>
      <c r="G881" t="str">
        <f>CLEAN("R/E")</f>
        <v>R/E</v>
      </c>
      <c r="H881" t="str">
        <f>CLEAN("NONLET CONSTR/REAL ESTATE")</f>
        <v>NONLET CONSTR/REAL ESTATE</v>
      </c>
      <c r="I881" t="str">
        <f>CLEAN("REAL ESTATE/PVRPLA                 ")</f>
        <v xml:space="preserve">REAL ESTATE/PVRPLA                 </v>
      </c>
      <c r="J881" t="str">
        <f>CLEAN("STH 091")</f>
        <v>STH 091</v>
      </c>
      <c r="K881" t="str">
        <f>CLEAN("GREEN LAKE                    ")</f>
        <v xml:space="preserve">GREEN LAKE                    </v>
      </c>
      <c r="L881" t="str">
        <f>CLEAN("C BERLIN, HURON STREET             ")</f>
        <v xml:space="preserve">C BERLIN, HURON STREET             </v>
      </c>
      <c r="M881" t="str">
        <f>CLEAN("STH 49 SOUTH TO BERLIN CITY LIMITS ")</f>
        <v xml:space="preserve">STH 49 SOUTH TO BERLIN CITY LIMITS </v>
      </c>
      <c r="N881">
        <v>0.88</v>
      </c>
      <c r="O881" t="str">
        <f t="shared" si="355"/>
        <v xml:space="preserve">          </v>
      </c>
      <c r="P881" t="str">
        <f t="shared" ref="P881:P888" si="360"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882" spans="1:16" x14ac:dyDescent="0.25">
      <c r="A882" t="str">
        <f t="shared" si="352"/>
        <v>10</v>
      </c>
      <c r="B882" t="str">
        <f>CLEAN("21")</f>
        <v>21</v>
      </c>
      <c r="C882" s="1">
        <v>46047</v>
      </c>
      <c r="D882" t="str">
        <f>CLEAN("6565-01-24")</f>
        <v>6565-01-24</v>
      </c>
      <c r="E882" t="str">
        <f t="shared" si="359"/>
        <v xml:space="preserve">303  </v>
      </c>
      <c r="F882" t="str">
        <f>CLEAN("$0 - $99,999             ")</f>
        <v xml:space="preserve">$0 - $99,999             </v>
      </c>
      <c r="G882" t="str">
        <f>CLEAN("R/E")</f>
        <v>R/E</v>
      </c>
      <c r="H882" t="str">
        <f>CLEAN("NONLET CONSTR/REAL ESTATE")</f>
        <v>NONLET CONSTR/REAL ESTATE</v>
      </c>
      <c r="I882" t="str">
        <f>CLEAN("DESIGN-RIGHT OF WAY-PVRPLA         ")</f>
        <v xml:space="preserve">DESIGN-RIGHT OF WAY-PVRPLA         </v>
      </c>
      <c r="J882" t="str">
        <f>CLEAN("STH 023")</f>
        <v>STH 023</v>
      </c>
      <c r="K882" t="str">
        <f>CLEAN("COLUMBIA                      ")</f>
        <v xml:space="preserve">COLUMBIA                      </v>
      </c>
      <c r="L882" t="str">
        <f>CLEAN("WISCONSIN DELLS - ENDEAVOR         ")</f>
        <v xml:space="preserve">WISCONSIN DELLS - ENDEAVOR         </v>
      </c>
      <c r="M882" t="str">
        <f>CLEAN("STH 16 TO ADAMS COUNTY LINE        ")</f>
        <v xml:space="preserve">STH 16 TO ADAMS COUNTY LINE        </v>
      </c>
      <c r="N882">
        <v>2.774</v>
      </c>
      <c r="O882" t="str">
        <f t="shared" si="355"/>
        <v xml:space="preserve">          </v>
      </c>
      <c r="P882" t="str">
        <f t="shared" si="360"/>
        <v xml:space="preserve">STATE 3R                                                                                            </v>
      </c>
    </row>
    <row r="883" spans="1:16" x14ac:dyDescent="0.25">
      <c r="A883" t="str">
        <f t="shared" si="352"/>
        <v>10</v>
      </c>
      <c r="B883" t="str">
        <f t="shared" ref="B883:B889" si="361">CLEAN("24")</f>
        <v>24</v>
      </c>
      <c r="C883" s="1">
        <v>45925</v>
      </c>
      <c r="D883" t="str">
        <f>CLEAN("6566-00-23")</f>
        <v>6566-00-23</v>
      </c>
      <c r="E883" t="str">
        <f t="shared" si="359"/>
        <v xml:space="preserve">303  </v>
      </c>
      <c r="F883" t="str">
        <f>CLEAN("$0 - $99,999             ")</f>
        <v xml:space="preserve">$0 - $99,999             </v>
      </c>
      <c r="G883" t="str">
        <f>CLEAN("R/E")</f>
        <v>R/E</v>
      </c>
      <c r="H883" t="str">
        <f>CLEAN("NONLET CONSTR/REAL ESTATE")</f>
        <v>NONLET CONSTR/REAL ESTATE</v>
      </c>
      <c r="I883" t="str">
        <f>CLEAN("REAL ESTATE/RESURFACE              ")</f>
        <v xml:space="preserve">REAL ESTATE/RESURFACE              </v>
      </c>
      <c r="J883" t="str">
        <f>CLEAN("STH 023")</f>
        <v>STH 023</v>
      </c>
      <c r="K883" t="str">
        <f>CLEAN("MARQUETTE                     ")</f>
        <v xml:space="preserve">MARQUETTE                     </v>
      </c>
      <c r="L883" t="str">
        <f>CLEAN("WISCONSIN DELLS - ENDEAVOR         ")</f>
        <v xml:space="preserve">WISCONSIN DELLS - ENDEAVOR         </v>
      </c>
      <c r="M883" t="str">
        <f>CLEAN("ADAMS COUNTY LINE TO I39           ")</f>
        <v xml:space="preserve">ADAMS COUNTY LINE TO I39           </v>
      </c>
      <c r="N883">
        <v>8.6300000000000008</v>
      </c>
      <c r="O883" t="str">
        <f t="shared" si="355"/>
        <v xml:space="preserve">          </v>
      </c>
      <c r="P883" t="str">
        <f t="shared" si="360"/>
        <v xml:space="preserve">STATE 3R                                                                                            </v>
      </c>
    </row>
    <row r="884" spans="1:16" x14ac:dyDescent="0.25">
      <c r="A884" t="str">
        <f t="shared" si="352"/>
        <v>10</v>
      </c>
      <c r="B884" t="str">
        <f t="shared" si="361"/>
        <v>24</v>
      </c>
      <c r="C884" s="1">
        <v>45909</v>
      </c>
      <c r="D884" t="str">
        <f>CLEAN("6580-13-71")</f>
        <v>6580-13-71</v>
      </c>
      <c r="E884" t="str">
        <f t="shared" si="359"/>
        <v xml:space="preserve">303  </v>
      </c>
      <c r="F884" t="str">
        <f>CLEAN("$2,000,000 - $2,999,999  ")</f>
        <v xml:space="preserve">$2,000,000 - $2,999,999  </v>
      </c>
      <c r="G884" t="str">
        <f>CLEAN("LET")</f>
        <v>LET</v>
      </c>
      <c r="H884" t="str">
        <f>CLEAN("LET CONSTRUCTION         ")</f>
        <v xml:space="preserve">LET CONSTRUCTION         </v>
      </c>
      <c r="I884" t="str">
        <f>CLEAN("CONST/RESURFACE                    ")</f>
        <v xml:space="preserve">CONST/RESURFACE                    </v>
      </c>
      <c r="J884" t="str">
        <f>CLEAN("STH 156")</f>
        <v>STH 156</v>
      </c>
      <c r="K884" t="str">
        <f>CLEAN("SHAWANO                       ")</f>
        <v xml:space="preserve">SHAWANO                       </v>
      </c>
      <c r="L884" t="str">
        <f>CLEAN("CLINTONVILLE - HOWARD              ")</f>
        <v xml:space="preserve">CLINTONVILLE - HOWARD              </v>
      </c>
      <c r="M884" t="str">
        <f>CLEAN("STH 47 TO STH 55                   ")</f>
        <v xml:space="preserve">STH 47 TO STH 55                   </v>
      </c>
      <c r="N884">
        <v>5.96</v>
      </c>
      <c r="O884" t="str">
        <f t="shared" si="355"/>
        <v xml:space="preserve">          </v>
      </c>
      <c r="P884" t="str">
        <f t="shared" si="360"/>
        <v xml:space="preserve">STATE 3R                                                                                            </v>
      </c>
    </row>
    <row r="885" spans="1:16" x14ac:dyDescent="0.25">
      <c r="A885" t="str">
        <f t="shared" si="352"/>
        <v>10</v>
      </c>
      <c r="B885" t="str">
        <f t="shared" si="361"/>
        <v>24</v>
      </c>
      <c r="C885" s="1">
        <v>46016</v>
      </c>
      <c r="D885" t="str">
        <f>CLEAN("6590-02-28")</f>
        <v>6590-02-28</v>
      </c>
      <c r="E885" t="str">
        <f t="shared" si="359"/>
        <v xml:space="preserve">303  </v>
      </c>
      <c r="F885" t="str">
        <f>CLEAN("$0 - $99,999             ")</f>
        <v xml:space="preserve">$0 - $99,999             </v>
      </c>
      <c r="G885" t="str">
        <f>CLEAN("R/E")</f>
        <v>R/E</v>
      </c>
      <c r="H885" t="str">
        <f>CLEAN("NONLET CONSTR/REAL ESTATE")</f>
        <v>NONLET CONSTR/REAL ESTATE</v>
      </c>
      <c r="I885" t="str">
        <f>CLEAN("REAL ESTATE/RESURFACE              ")</f>
        <v xml:space="preserve">REAL ESTATE/RESURFACE              </v>
      </c>
      <c r="J885" t="str">
        <f>CLEAN("STH 110")</f>
        <v>STH 110</v>
      </c>
      <c r="K885" t="str">
        <f>CLEAN("WAUPACA                       ")</f>
        <v xml:space="preserve">WAUPACA                       </v>
      </c>
      <c r="L885" t="str">
        <f>CLEAN("C MARION, MAIN STREET              ")</f>
        <v xml:space="preserve">C MARION, MAIN STREET              </v>
      </c>
      <c r="M885" t="str">
        <f>CLEAN("BERTRAM STREET TO USH 45           ")</f>
        <v xml:space="preserve">BERTRAM STREET TO USH 45           </v>
      </c>
      <c r="N885">
        <v>1.159</v>
      </c>
      <c r="O885" t="str">
        <f t="shared" si="355"/>
        <v xml:space="preserve">          </v>
      </c>
      <c r="P885" t="str">
        <f t="shared" si="360"/>
        <v xml:space="preserve">STATE 3R                                                                                            </v>
      </c>
    </row>
    <row r="886" spans="1:16" x14ac:dyDescent="0.25">
      <c r="A886" t="str">
        <f t="shared" si="352"/>
        <v>10</v>
      </c>
      <c r="B886" t="str">
        <f t="shared" si="361"/>
        <v>24</v>
      </c>
      <c r="C886" s="1">
        <v>46228</v>
      </c>
      <c r="D886" t="str">
        <f>CLEAN("6610-00-51")</f>
        <v>6610-00-51</v>
      </c>
      <c r="E886" t="str">
        <f t="shared" si="359"/>
        <v xml:space="preserve">303  </v>
      </c>
      <c r="F886" t="str">
        <f>CLEAN("$250,000 - $499,999      ")</f>
        <v xml:space="preserve">$250,000 - $499,999      </v>
      </c>
      <c r="G886" t="str">
        <f>CLEAN("R/R")</f>
        <v>R/R</v>
      </c>
      <c r="H886" t="str">
        <f>CLEAN("NONLET CONSTR/REAL ESTATE")</f>
        <v>NONLET CONSTR/REAL ESTATE</v>
      </c>
      <c r="I886" t="str">
        <f>CLEAN("RAIL CROSSING SIGNALS/392768B      ")</f>
        <v xml:space="preserve">RAIL CROSSING SIGNALS/392768B      </v>
      </c>
      <c r="J886" t="str">
        <f>CLEAN("STH 034")</f>
        <v>STH 034</v>
      </c>
      <c r="K886" t="str">
        <f>CLEAN("MARATHON                      ")</f>
        <v xml:space="preserve">MARATHON                      </v>
      </c>
      <c r="L886" t="str">
        <f>CLEAN("RUDOLPH - KNOWLTON                 ")</f>
        <v xml:space="preserve">RUDOLPH - KNOWLTON                 </v>
      </c>
      <c r="M886" t="str">
        <f>CLEAN("HOSTA RD CN RR XING SIGNALS MP71.82")</f>
        <v>HOSTA RD CN RR XING SIGNALS MP71.82</v>
      </c>
      <c r="N886">
        <v>0</v>
      </c>
      <c r="O886" t="str">
        <f t="shared" si="355"/>
        <v xml:space="preserve">          </v>
      </c>
      <c r="P886" t="str">
        <f t="shared" si="360"/>
        <v xml:space="preserve">STATE 3R                                                                                            </v>
      </c>
    </row>
    <row r="887" spans="1:16" x14ac:dyDescent="0.25">
      <c r="A887" t="str">
        <f t="shared" si="352"/>
        <v>10</v>
      </c>
      <c r="B887" t="str">
        <f t="shared" si="361"/>
        <v>24</v>
      </c>
      <c r="C887" s="1">
        <v>46137</v>
      </c>
      <c r="D887" t="str">
        <f>CLEAN("6620-00-20")</f>
        <v>6620-00-20</v>
      </c>
      <c r="E887" t="str">
        <f t="shared" si="359"/>
        <v xml:space="preserve">303  </v>
      </c>
      <c r="F887" t="str">
        <f>CLEAN("$0 - $99,999             ")</f>
        <v xml:space="preserve">$0 - $99,999             </v>
      </c>
      <c r="G887" t="str">
        <f>CLEAN("R/E")</f>
        <v>R/E</v>
      </c>
      <c r="H887" t="str">
        <f>CLEAN("NONLET CONSTR/REAL ESTATE")</f>
        <v>NONLET CONSTR/REAL ESTATE</v>
      </c>
      <c r="I887" t="str">
        <f>CLEAN("REAL ESTATE/RESURFACE              ")</f>
        <v xml:space="preserve">REAL ESTATE/RESURFACE              </v>
      </c>
      <c r="J887" t="str">
        <f>CLEAN("STH 186")</f>
        <v>STH 186</v>
      </c>
      <c r="K887" t="str">
        <f>CLEAN("WOOD                          ")</f>
        <v xml:space="preserve">WOOD                          </v>
      </c>
      <c r="L887" t="str">
        <f>CLEAN("V VESPER, WIS ST AND CAMERON AVE   ")</f>
        <v xml:space="preserve">V VESPER, WIS ST AND CAMERON AVE   </v>
      </c>
      <c r="M887" t="str">
        <f>CLEAN("5TH STREET TO OAK STREET           ")</f>
        <v xml:space="preserve">5TH STREET TO OAK STREET           </v>
      </c>
      <c r="N887">
        <v>0.97699999999999998</v>
      </c>
      <c r="O887" t="str">
        <f t="shared" si="355"/>
        <v xml:space="preserve">          </v>
      </c>
      <c r="P887" t="str">
        <f t="shared" si="360"/>
        <v xml:space="preserve">STATE 3R                                                                                            </v>
      </c>
    </row>
    <row r="888" spans="1:16" x14ac:dyDescent="0.25">
      <c r="A888" t="str">
        <f t="shared" si="352"/>
        <v>10</v>
      </c>
      <c r="B888" t="str">
        <f t="shared" si="361"/>
        <v>24</v>
      </c>
      <c r="C888" s="1">
        <v>45925</v>
      </c>
      <c r="D888" t="str">
        <f>CLEAN("6620-00-21")</f>
        <v>6620-00-21</v>
      </c>
      <c r="E888" t="str">
        <f t="shared" si="359"/>
        <v xml:space="preserve">303  </v>
      </c>
      <c r="F888" t="str">
        <f>CLEAN("$0 - $99,999             ")</f>
        <v xml:space="preserve">$0 - $99,999             </v>
      </c>
      <c r="G888" t="str">
        <f>CLEAN("R/E")</f>
        <v>R/E</v>
      </c>
      <c r="H888" t="str">
        <f>CLEAN("NONLET CONSTR/REAL ESTATE")</f>
        <v>NONLET CONSTR/REAL ESTATE</v>
      </c>
      <c r="I888" t="str">
        <f>CLEAN("REAL ESTATE/RESURFACE              ")</f>
        <v xml:space="preserve">REAL ESTATE/RESURFACE              </v>
      </c>
      <c r="J888" t="str">
        <f>CLEAN("STH 186")</f>
        <v>STH 186</v>
      </c>
      <c r="K888" t="str">
        <f>CLEAN("WOOD                          ")</f>
        <v xml:space="preserve">WOOD                          </v>
      </c>
      <c r="L888" t="str">
        <f>CLEAN("STH 73 - AUBURNDALE                ")</f>
        <v xml:space="preserve">STH 73 - AUBURNDALE                </v>
      </c>
      <c r="M888" t="str">
        <f>CLEAN("OAK STREET TO USH 10               ")</f>
        <v xml:space="preserve">OAK STREET TO USH 10               </v>
      </c>
      <c r="N888">
        <v>11.4</v>
      </c>
      <c r="O888" t="str">
        <f t="shared" si="355"/>
        <v xml:space="preserve">          </v>
      </c>
      <c r="P888" t="str">
        <f t="shared" si="360"/>
        <v xml:space="preserve">STATE 3R                                                                                            </v>
      </c>
    </row>
    <row r="889" spans="1:16" x14ac:dyDescent="0.25">
      <c r="A889" t="str">
        <f t="shared" si="352"/>
        <v>10</v>
      </c>
      <c r="B889" t="str">
        <f t="shared" si="361"/>
        <v>24</v>
      </c>
      <c r="C889" s="1">
        <v>46035</v>
      </c>
      <c r="D889" t="str">
        <f>CLEAN("6626-01-70")</f>
        <v>6626-01-70</v>
      </c>
      <c r="E889" t="str">
        <f>CLEAN("205  ")</f>
        <v xml:space="preserve">205  </v>
      </c>
      <c r="F889" t="str">
        <f>CLEAN("$750,000 - $999,999      ")</f>
        <v xml:space="preserve">$750,000 - $999,999      </v>
      </c>
      <c r="G889" t="str">
        <f t="shared" ref="G889:G896" si="362">CLEAN("LET")</f>
        <v>LET</v>
      </c>
      <c r="H889" t="str">
        <f t="shared" ref="H889:H896" si="363">CLEAN("LET CONSTRUCTION         ")</f>
        <v xml:space="preserve">LET CONSTRUCTION         </v>
      </c>
      <c r="I889" t="str">
        <f>CLEAN("CONST/REPLACEMENT                  ")</f>
        <v xml:space="preserve">CONST/REPLACEMENT                  </v>
      </c>
      <c r="J889" t="str">
        <f>CLEAN("LOC STR")</f>
        <v>LOC STR</v>
      </c>
      <c r="K889" t="str">
        <f>CLEAN("GREEN LAKE                    ")</f>
        <v xml:space="preserve">GREEN LAKE                    </v>
      </c>
      <c r="L889" t="str">
        <f>CLEAN("C GREEN LAKE, MILL STREET          ")</f>
        <v xml:space="preserve">C GREEN LAKE, MILL STREET          </v>
      </c>
      <c r="M889" t="str">
        <f>CLEAN("PUCHYAN RIVER BRIDGE, B-24-0437    ")</f>
        <v xml:space="preserve">PUCHYAN RIVER BRIDGE, B-24-0437    </v>
      </c>
      <c r="N889">
        <v>0</v>
      </c>
      <c r="O889" t="str">
        <f t="shared" si="355"/>
        <v xml:space="preserve">          </v>
      </c>
      <c r="P889" t="str">
        <f>CLEAN("LOCAL BRIDGES                                                                                       ")</f>
        <v xml:space="preserve">LOCAL BRIDGES                                                                                       </v>
      </c>
    </row>
    <row r="890" spans="1:16" x14ac:dyDescent="0.25">
      <c r="A890" t="str">
        <f t="shared" si="352"/>
        <v>10</v>
      </c>
      <c r="B890" t="str">
        <f>CLEAN("21")</f>
        <v>21</v>
      </c>
      <c r="C890" s="1">
        <v>46091</v>
      </c>
      <c r="D890" t="str">
        <f>CLEAN("6630-00-70")</f>
        <v>6630-00-70</v>
      </c>
      <c r="E890" t="str">
        <f>CLEAN("303  ")</f>
        <v xml:space="preserve">303  </v>
      </c>
      <c r="F890" t="str">
        <f>CLEAN("$1,000,000 - $1,999,999  ")</f>
        <v xml:space="preserve">$1,000,000 - $1,999,999  </v>
      </c>
      <c r="G890" t="str">
        <f t="shared" si="362"/>
        <v>LET</v>
      </c>
      <c r="H890" t="str">
        <f t="shared" si="363"/>
        <v xml:space="preserve">LET CONSTRUCTION         </v>
      </c>
      <c r="I890" t="str">
        <f>CLEAN("CONST/ MILL AND OVERLAY            ")</f>
        <v xml:space="preserve">CONST/ MILL AND OVERLAY            </v>
      </c>
      <c r="J890" t="str">
        <f>CLEAN("STH 044")</f>
        <v>STH 044</v>
      </c>
      <c r="K890" t="str">
        <f>CLEAN("COLUMBIA                      ")</f>
        <v xml:space="preserve">COLUMBIA                      </v>
      </c>
      <c r="L890" t="str">
        <f>CLEAN("PARDEEVILLE - MANCHESTER           ")</f>
        <v xml:space="preserve">PARDEEVILLE - MANCHESTER           </v>
      </c>
      <c r="M890" t="str">
        <f>CLEAN("STH 33 TO CTH HH                   ")</f>
        <v xml:space="preserve">STH 33 TO CTH HH                   </v>
      </c>
      <c r="N890">
        <v>5.84</v>
      </c>
      <c r="O890" t="str">
        <f>CLEAN("6630-00-81")</f>
        <v>6630-00-81</v>
      </c>
      <c r="P890" t="str">
        <f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891" spans="1:16" x14ac:dyDescent="0.25">
      <c r="A891" t="str">
        <f t="shared" si="352"/>
        <v>10</v>
      </c>
      <c r="B891" t="str">
        <f>CLEAN("21")</f>
        <v>21</v>
      </c>
      <c r="C891" s="1">
        <v>46091</v>
      </c>
      <c r="D891" t="str">
        <f>CLEAN("6630-00-81")</f>
        <v>6630-00-81</v>
      </c>
      <c r="E891" t="str">
        <f>CLEAN("303  ")</f>
        <v xml:space="preserve">303  </v>
      </c>
      <c r="F891" t="str">
        <f>CLEAN("$750,000 - $999,999      ")</f>
        <v xml:space="preserve">$750,000 - $999,999      </v>
      </c>
      <c r="G891" t="str">
        <f t="shared" si="362"/>
        <v>LET</v>
      </c>
      <c r="H891" t="str">
        <f t="shared" si="363"/>
        <v xml:space="preserve">LET CONSTRUCTION         </v>
      </c>
      <c r="I891" t="str">
        <f>CLEAN("CONST/ STRUCTURE REPLACEMENT       ")</f>
        <v xml:space="preserve">CONST/ STRUCTURE REPLACEMENT       </v>
      </c>
      <c r="J891" t="str">
        <f>CLEAN("STH 044")</f>
        <v>STH 044</v>
      </c>
      <c r="K891" t="str">
        <f>CLEAN("COLUMBIA                      ")</f>
        <v xml:space="preserve">COLUMBIA                      </v>
      </c>
      <c r="L891" t="str">
        <f>CLEAN("PARDEEVILLE - MANCHESTER           ")</f>
        <v xml:space="preserve">PARDEEVILLE - MANCHESTER           </v>
      </c>
      <c r="M891" t="str">
        <f>CLEAN("FOX RIVER STRUCTURE B-11-179       ")</f>
        <v xml:space="preserve">FOX RIVER STRUCTURE B-11-179       </v>
      </c>
      <c r="N891">
        <v>1.7999999999999999E-2</v>
      </c>
      <c r="O891" t="str">
        <f>CLEAN("6630-00-70")</f>
        <v>6630-00-70</v>
      </c>
      <c r="P891" t="str">
        <f>CLEAN("SHR BRIDGES                                                                                         ")</f>
        <v xml:space="preserve">SHR BRIDGES                                                                                         </v>
      </c>
    </row>
    <row r="892" spans="1:16" x14ac:dyDescent="0.25">
      <c r="A892" t="str">
        <f t="shared" si="352"/>
        <v>10</v>
      </c>
      <c r="B892" t="str">
        <f>CLEAN("24")</f>
        <v>24</v>
      </c>
      <c r="C892" s="1">
        <v>46035</v>
      </c>
      <c r="D892" t="str">
        <f>CLEAN("6652-03-70")</f>
        <v>6652-03-70</v>
      </c>
      <c r="E892" t="str">
        <f>CLEAN("205  ")</f>
        <v xml:space="preserve">205  </v>
      </c>
      <c r="F892" t="str">
        <f>CLEAN("$750,000 - $999,999      ")</f>
        <v xml:space="preserve">$750,000 - $999,999      </v>
      </c>
      <c r="G892" t="str">
        <f t="shared" si="362"/>
        <v>LET</v>
      </c>
      <c r="H892" t="str">
        <f t="shared" si="363"/>
        <v xml:space="preserve">LET CONSTRUCTION         </v>
      </c>
      <c r="I892" t="str">
        <f>CLEAN("CONST/REPLACEMENT                  ")</f>
        <v xml:space="preserve">CONST/REPLACEMENT                  </v>
      </c>
      <c r="J892" t="str">
        <f>CLEAN("CTH P  ")</f>
        <v xml:space="preserve">CTH P  </v>
      </c>
      <c r="K892" t="str">
        <f>CLEAN("MARATHON                      ")</f>
        <v xml:space="preserve">MARATHON                      </v>
      </c>
      <c r="L892" t="str">
        <f>CLEAN("UNITY - FENWOOD                    ")</f>
        <v xml:space="preserve">UNITY - FENWOOD                    </v>
      </c>
      <c r="M892" t="str">
        <f>CLEAN("FENWOOD CREEK BRIDGE, B-37-0486    ")</f>
        <v xml:space="preserve">FENWOOD CREEK BRIDGE, B-37-0486    </v>
      </c>
      <c r="N892">
        <v>0</v>
      </c>
      <c r="O892" t="str">
        <f t="shared" ref="O892:O909" si="364">CLEAN("          ")</f>
        <v xml:space="preserve">          </v>
      </c>
      <c r="P892" t="str">
        <f>CLEAN("LOCAL BRIDGES                                                                                       ")</f>
        <v xml:space="preserve">LOCAL BRIDGES                                                                                       </v>
      </c>
    </row>
    <row r="893" spans="1:16" x14ac:dyDescent="0.25">
      <c r="A893" t="str">
        <f t="shared" si="352"/>
        <v>10</v>
      </c>
      <c r="B893" t="str">
        <f>CLEAN("24")</f>
        <v>24</v>
      </c>
      <c r="C893" s="1">
        <v>45944</v>
      </c>
      <c r="D893" t="str">
        <f>CLEAN("6668-00-70")</f>
        <v>6668-00-70</v>
      </c>
      <c r="E893" t="str">
        <f>CLEAN("206  ")</f>
        <v xml:space="preserve">206  </v>
      </c>
      <c r="F893" t="str">
        <f>CLEAN("$750,000 - $999,999      ")</f>
        <v xml:space="preserve">$750,000 - $999,999      </v>
      </c>
      <c r="G893" t="str">
        <f t="shared" si="362"/>
        <v>LET</v>
      </c>
      <c r="H893" t="str">
        <f t="shared" si="363"/>
        <v xml:space="preserve">LET CONSTRUCTION         </v>
      </c>
      <c r="I893" t="str">
        <f>CLEAN("CONST/PVRPLA                       ")</f>
        <v xml:space="preserve">CONST/PVRPLA                       </v>
      </c>
      <c r="J893" t="str">
        <f>CLEAN("CTH E  ")</f>
        <v xml:space="preserve">CTH E  </v>
      </c>
      <c r="K893" t="str">
        <f>CLEAN("MARATHON                      ")</f>
        <v xml:space="preserve">MARATHON                      </v>
      </c>
      <c r="L893" t="str">
        <f>CLEAN("STH 153 - STH 29                   ")</f>
        <v xml:space="preserve">STH 153 - STH 29                   </v>
      </c>
      <c r="M893" t="str">
        <f>CLEAN("STH 153 TO CTH P                   ")</f>
        <v xml:space="preserve">STH 153 TO CTH P                   </v>
      </c>
      <c r="N893">
        <v>2.96</v>
      </c>
      <c r="O893" t="str">
        <f t="shared" si="364"/>
        <v xml:space="preserve">          </v>
      </c>
      <c r="P893" t="str">
        <f>CLEAN("STP RURAL                                                                                           ")</f>
        <v xml:space="preserve">STP RURAL                                                                                           </v>
      </c>
    </row>
    <row r="894" spans="1:16" x14ac:dyDescent="0.25">
      <c r="A894" t="str">
        <f t="shared" si="352"/>
        <v>10</v>
      </c>
      <c r="B894" t="str">
        <f>CLEAN("24")</f>
        <v>24</v>
      </c>
      <c r="C894" s="1">
        <v>46035</v>
      </c>
      <c r="D894" t="str">
        <f>CLEAN("6678-02-70")</f>
        <v>6678-02-70</v>
      </c>
      <c r="E894" t="str">
        <f>CLEAN("205  ")</f>
        <v xml:space="preserve">205  </v>
      </c>
      <c r="F894" t="str">
        <f>CLEAN("$500,000 - $749,999      ")</f>
        <v xml:space="preserve">$500,000 - $749,999      </v>
      </c>
      <c r="G894" t="str">
        <f t="shared" si="362"/>
        <v>LET</v>
      </c>
      <c r="H894" t="str">
        <f t="shared" si="363"/>
        <v xml:space="preserve">LET CONSTRUCTION         </v>
      </c>
      <c r="I894" t="str">
        <f>CLEAN("CONST/REPLACEMENT                  ")</f>
        <v xml:space="preserve">CONST/REPLACEMENT                  </v>
      </c>
      <c r="J894" t="str">
        <f>CLEAN("LOC STR")</f>
        <v>LOC STR</v>
      </c>
      <c r="K894" t="str">
        <f>CLEAN("MARATHON                      ")</f>
        <v xml:space="preserve">MARATHON                      </v>
      </c>
      <c r="L894" t="str">
        <f>CLEAN("T EAU PLEINE, ABE LINCOLN ROAD     ")</f>
        <v xml:space="preserve">T EAU PLEINE, ABE LINCOLN ROAD     </v>
      </c>
      <c r="M894" t="str">
        <f>CLEAN("CARLSON CREEK BRIDGE, B-37-0487    ")</f>
        <v xml:space="preserve">CARLSON CREEK BRIDGE, B-37-0487    </v>
      </c>
      <c r="N894">
        <v>0</v>
      </c>
      <c r="O894" t="str">
        <f t="shared" si="364"/>
        <v xml:space="preserve">          </v>
      </c>
      <c r="P894" t="str">
        <f>CLEAN("LOCAL BRIDGES                                                                                       ")</f>
        <v xml:space="preserve">LOCAL BRIDGES                                                                                       </v>
      </c>
    </row>
    <row r="895" spans="1:16" x14ac:dyDescent="0.25">
      <c r="A895" t="str">
        <f t="shared" si="352"/>
        <v>10</v>
      </c>
      <c r="B895" t="str">
        <f>CLEAN("24")</f>
        <v>24</v>
      </c>
      <c r="C895" s="1">
        <v>45972</v>
      </c>
      <c r="D895" t="str">
        <f>CLEAN("6685-04-70")</f>
        <v>6685-04-70</v>
      </c>
      <c r="E895" t="str">
        <f>CLEAN("206  ")</f>
        <v xml:space="preserve">206  </v>
      </c>
      <c r="F895" t="str">
        <f>CLEAN("$250,000 - $499,999      ")</f>
        <v xml:space="preserve">$250,000 - $499,999      </v>
      </c>
      <c r="G895" t="str">
        <f t="shared" si="362"/>
        <v>LET</v>
      </c>
      <c r="H895" t="str">
        <f t="shared" si="363"/>
        <v xml:space="preserve">LET CONSTRUCTION         </v>
      </c>
      <c r="I895" t="str">
        <f>CLEAN("CONST/PVRPLA                       ")</f>
        <v xml:space="preserve">CONST/PVRPLA                       </v>
      </c>
      <c r="J895" t="str">
        <f>CLEAN("LOC STR")</f>
        <v>LOC STR</v>
      </c>
      <c r="K895" t="str">
        <f>CLEAN("MARATHON                      ")</f>
        <v xml:space="preserve">MARATHON                      </v>
      </c>
      <c r="L895" t="str">
        <f>CLEAN("V SPENCER, EAST WILLOW DRIVE       ")</f>
        <v xml:space="preserve">V SPENCER, EAST WILLOW DRIVE       </v>
      </c>
      <c r="M895" t="str">
        <f>CLEAN("S LASALLE ST TO S MONROE ST        ")</f>
        <v xml:space="preserve">S LASALLE ST TO S MONROE ST        </v>
      </c>
      <c r="N895">
        <v>0.52100000000000002</v>
      </c>
      <c r="O895" t="str">
        <f t="shared" si="364"/>
        <v xml:space="preserve">          </v>
      </c>
      <c r="P895" t="str">
        <f>CLEAN("STP RURAL                                                                                           ")</f>
        <v xml:space="preserve">STP RURAL                                                                                           </v>
      </c>
    </row>
    <row r="896" spans="1:16" x14ac:dyDescent="0.25">
      <c r="A896" t="str">
        <f t="shared" si="352"/>
        <v>10</v>
      </c>
      <c r="B896" t="str">
        <f>CLEAN("24")</f>
        <v>24</v>
      </c>
      <c r="C896" s="1">
        <v>46091</v>
      </c>
      <c r="D896" t="str">
        <f>CLEAN("6694-04-71")</f>
        <v>6694-04-71</v>
      </c>
      <c r="E896" t="str">
        <f>CLEAN("206  ")</f>
        <v xml:space="preserve">206  </v>
      </c>
      <c r="F896" t="str">
        <f>CLEAN("$2,000,000 - $2,999,999  ")</f>
        <v xml:space="preserve">$2,000,000 - $2,999,999  </v>
      </c>
      <c r="G896" t="str">
        <f t="shared" si="362"/>
        <v>LET</v>
      </c>
      <c r="H896" t="str">
        <f t="shared" si="363"/>
        <v xml:space="preserve">LET CONSTRUCTION         </v>
      </c>
      <c r="I896" t="str">
        <f>CLEAN("CONST/RECONDITION                  ")</f>
        <v xml:space="preserve">CONST/RECONDITION                  </v>
      </c>
      <c r="J896" t="str">
        <f>CLEAN("CTH E  ")</f>
        <v xml:space="preserve">CTH E  </v>
      </c>
      <c r="K896" t="str">
        <f>CLEAN("MARQUETTE                     ")</f>
        <v xml:space="preserve">MARQUETTE                     </v>
      </c>
      <c r="L896" t="str">
        <f>CLEAN("WESTFIELD - STH 22                 ")</f>
        <v xml:space="preserve">WESTFIELD - STH 22                 </v>
      </c>
      <c r="M896" t="str">
        <f>CLEAN("7TH COURT TO CTH B                 ")</f>
        <v xml:space="preserve">7TH COURT TO CTH B                 </v>
      </c>
      <c r="N896">
        <v>5.0190000000000001</v>
      </c>
      <c r="O896" t="str">
        <f t="shared" si="364"/>
        <v xml:space="preserve">          </v>
      </c>
      <c r="P896" t="str">
        <f>CLEAN("STP RURAL                                                                                           ")</f>
        <v xml:space="preserve">STP RURAL                                                                                           </v>
      </c>
    </row>
    <row r="897" spans="1:16" x14ac:dyDescent="0.25">
      <c r="A897" t="str">
        <f t="shared" si="352"/>
        <v>10</v>
      </c>
      <c r="B897" t="str">
        <f>CLEAN("21")</f>
        <v>21</v>
      </c>
      <c r="C897" s="1">
        <v>45925</v>
      </c>
      <c r="D897" t="str">
        <f>CLEAN("6707-01-23")</f>
        <v>6707-01-23</v>
      </c>
      <c r="E897" t="str">
        <f>CLEAN("303  ")</f>
        <v xml:space="preserve">303  </v>
      </c>
      <c r="F897" t="str">
        <f>CLEAN("$0 - $99,999             ")</f>
        <v xml:space="preserve">$0 - $99,999             </v>
      </c>
      <c r="G897" t="str">
        <f>CLEAN("R/E")</f>
        <v>R/E</v>
      </c>
      <c r="H897" t="str">
        <f>CLEAN("NONLET CONSTR/REAL ESTATE")</f>
        <v>NONLET CONSTR/REAL ESTATE</v>
      </c>
      <c r="I897" t="str">
        <f>CLEAN("REAL ESTATE/ RSRF30                ")</f>
        <v xml:space="preserve">REAL ESTATE/ RSRF30                </v>
      </c>
      <c r="J897" t="str">
        <f>CLEAN("STH 146")</f>
        <v>STH 146</v>
      </c>
      <c r="K897" t="str">
        <f>CLEAN("COLUMBIA                      ")</f>
        <v xml:space="preserve">COLUMBIA                      </v>
      </c>
      <c r="L897" t="str">
        <f>CLEAN("FALL RIVER - CAMBRIA               ")</f>
        <v xml:space="preserve">FALL RIVER - CAMBRIA               </v>
      </c>
      <c r="M897" t="str">
        <f>CLEAN("STH 16 TO STH 33                   ")</f>
        <v xml:space="preserve">STH 16 TO STH 33                   </v>
      </c>
      <c r="N897">
        <v>13.25</v>
      </c>
      <c r="O897" t="str">
        <f t="shared" si="364"/>
        <v xml:space="preserve">          </v>
      </c>
      <c r="P897" t="str">
        <f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898" spans="1:16" x14ac:dyDescent="0.25">
      <c r="A898" t="str">
        <f t="shared" si="352"/>
        <v>10</v>
      </c>
      <c r="B898" t="str">
        <f t="shared" ref="B898:B907" si="365">CLEAN("24")</f>
        <v>24</v>
      </c>
      <c r="C898" s="1">
        <v>45972</v>
      </c>
      <c r="D898" t="str">
        <f>CLEAN("6808-02-70")</f>
        <v>6808-02-70</v>
      </c>
      <c r="E898" t="str">
        <f>CLEAN("206  ")</f>
        <v xml:space="preserve">206  </v>
      </c>
      <c r="F898" t="str">
        <f>CLEAN("$1,000,000 - $1,999,999  ")</f>
        <v xml:space="preserve">$1,000,000 - $1,999,999  </v>
      </c>
      <c r="G898" t="str">
        <f>CLEAN("LET")</f>
        <v>LET</v>
      </c>
      <c r="H898" t="str">
        <f>CLEAN("LET CONSTRUCTION         ")</f>
        <v xml:space="preserve">LET CONSTRUCTION         </v>
      </c>
      <c r="I898" t="str">
        <f>CLEAN("CONST/PAVEMENT REPLACEMENT         ")</f>
        <v xml:space="preserve">CONST/PAVEMENT REPLACEMENT         </v>
      </c>
      <c r="J898" t="str">
        <f>CLEAN("LOC STR")</f>
        <v>LOC STR</v>
      </c>
      <c r="K898" t="str">
        <f>CLEAN("PORTAGE                       ")</f>
        <v xml:space="preserve">PORTAGE                       </v>
      </c>
      <c r="L898" t="str">
        <f>CLEAN("T STOCKTON, STANDING ROCKS ROAD    ")</f>
        <v xml:space="preserve">T STOCKTON, STANDING ROCKS ROAD    </v>
      </c>
      <c r="M898" t="str">
        <f>CLEAN("CUSTER ROAD TO TOWN LINE ROAD      ")</f>
        <v xml:space="preserve">CUSTER ROAD TO TOWN LINE ROAD      </v>
      </c>
      <c r="N898">
        <v>3.08</v>
      </c>
      <c r="O898" t="str">
        <f t="shared" si="364"/>
        <v xml:space="preserve">          </v>
      </c>
      <c r="P898" t="str">
        <f>CLEAN("STP RURAL                                                                                           ")</f>
        <v xml:space="preserve">STP RURAL                                                                                           </v>
      </c>
    </row>
    <row r="899" spans="1:16" x14ac:dyDescent="0.25">
      <c r="A899" t="str">
        <f t="shared" si="352"/>
        <v>10</v>
      </c>
      <c r="B899" t="str">
        <f t="shared" si="365"/>
        <v>24</v>
      </c>
      <c r="C899" s="1">
        <v>46091</v>
      </c>
      <c r="D899" t="str">
        <f>CLEAN("6832-06-72")</f>
        <v>6832-06-72</v>
      </c>
      <c r="E899" t="str">
        <f>CLEAN("205  ")</f>
        <v xml:space="preserve">205  </v>
      </c>
      <c r="F899" t="str">
        <f>CLEAN("$1,000,000 - $1,999,999  ")</f>
        <v xml:space="preserve">$1,000,000 - $1,999,999  </v>
      </c>
      <c r="G899" t="str">
        <f>CLEAN("LET")</f>
        <v>LET</v>
      </c>
      <c r="H899" t="str">
        <f>CLEAN("LET CONSTRUCTION         ")</f>
        <v xml:space="preserve">LET CONSTRUCTION         </v>
      </c>
      <c r="I899" t="str">
        <f>CLEAN("CONST/REPLACEMENT                  ")</f>
        <v xml:space="preserve">CONST/REPLACEMENT                  </v>
      </c>
      <c r="J899" t="str">
        <f>CLEAN("CTH B  ")</f>
        <v xml:space="preserve">CTH B  </v>
      </c>
      <c r="K899" t="str">
        <f>CLEAN("WAUPACA                       ")</f>
        <v xml:space="preserve">WAUPACA                       </v>
      </c>
      <c r="L899" t="str">
        <f>CLEAN("OGDENSBURG - MANAWA                ")</f>
        <v xml:space="preserve">OGDENSBURG - MANAWA                </v>
      </c>
      <c r="M899" t="str">
        <f>CLEAN("LITTLE WOLF RIVER BRIDGE, B-68-0150")</f>
        <v>LITTLE WOLF RIVER BRIDGE, B-68-0150</v>
      </c>
      <c r="N899">
        <v>0</v>
      </c>
      <c r="O899" t="str">
        <f t="shared" si="364"/>
        <v xml:space="preserve">          </v>
      </c>
      <c r="P899" t="str">
        <f>CLEAN("LOCAL BRIDGES                                                                                       ")</f>
        <v xml:space="preserve">LOCAL BRIDGES                                                                                       </v>
      </c>
    </row>
    <row r="900" spans="1:16" x14ac:dyDescent="0.25">
      <c r="A900" t="str">
        <f t="shared" si="352"/>
        <v>10</v>
      </c>
      <c r="B900" t="str">
        <f t="shared" si="365"/>
        <v>24</v>
      </c>
      <c r="C900" s="1">
        <v>46035</v>
      </c>
      <c r="D900" t="str">
        <f>CLEAN("6887-01-71")</f>
        <v>6887-01-71</v>
      </c>
      <c r="E900" t="str">
        <f>CLEAN("205  ")</f>
        <v xml:space="preserve">205  </v>
      </c>
      <c r="F900" t="str">
        <f>CLEAN("$500,000 - $749,999      ")</f>
        <v xml:space="preserve">$500,000 - $749,999      </v>
      </c>
      <c r="G900" t="str">
        <f>CLEAN("LET")</f>
        <v>LET</v>
      </c>
      <c r="H900" t="str">
        <f>CLEAN("LET CONSTRUCTION         ")</f>
        <v xml:space="preserve">LET CONSTRUCTION         </v>
      </c>
      <c r="I900" t="str">
        <f>CLEAN("CONST/REPLACEMENT                  ")</f>
        <v xml:space="preserve">CONST/REPLACEMENT                  </v>
      </c>
      <c r="J900" t="str">
        <f>CLEAN("LOC STR")</f>
        <v>LOC STR</v>
      </c>
      <c r="K900" t="str">
        <f>CLEAN("WAUPACA                       ")</f>
        <v xml:space="preserve">WAUPACA                       </v>
      </c>
      <c r="L900" t="str">
        <f>CLEAN("T LARRABEE, BUCKBEE ROAD           ")</f>
        <v xml:space="preserve">T LARRABEE, BUCKBEE ROAD           </v>
      </c>
      <c r="M900" t="str">
        <f>CLEAN("S BR PIGEON RIVER BRIDGE B-68-0151 ")</f>
        <v xml:space="preserve">S BR PIGEON RIVER BRIDGE B-68-0151 </v>
      </c>
      <c r="N900">
        <v>7.0000000000000007E-2</v>
      </c>
      <c r="O900" t="str">
        <f t="shared" si="364"/>
        <v xml:space="preserve">          </v>
      </c>
      <c r="P900" t="str">
        <f>CLEAN("LOCAL BRIDGES                                                                                       ")</f>
        <v xml:space="preserve">LOCAL BRIDGES                                                                                       </v>
      </c>
    </row>
    <row r="901" spans="1:16" x14ac:dyDescent="0.25">
      <c r="A901" t="str">
        <f t="shared" si="352"/>
        <v>10</v>
      </c>
      <c r="B901" t="str">
        <f t="shared" si="365"/>
        <v>24</v>
      </c>
      <c r="C901" s="1">
        <v>46035</v>
      </c>
      <c r="D901" t="str">
        <f>CLEAN("6911-00-72")</f>
        <v>6911-00-72</v>
      </c>
      <c r="E901" t="str">
        <f>CLEAN("205  ")</f>
        <v xml:space="preserve">205  </v>
      </c>
      <c r="F901" t="str">
        <f>CLEAN("$1,000,000 - $1,999,999  ")</f>
        <v xml:space="preserve">$1,000,000 - $1,999,999  </v>
      </c>
      <c r="G901" t="str">
        <f>CLEAN("LET")</f>
        <v>LET</v>
      </c>
      <c r="H901" t="str">
        <f>CLEAN("LET CONSTRUCTION         ")</f>
        <v xml:space="preserve">LET CONSTRUCTION         </v>
      </c>
      <c r="I901" t="str">
        <f>CLEAN("CONST/REPLACEMENT                  ")</f>
        <v xml:space="preserve">CONST/REPLACEMENT                  </v>
      </c>
      <c r="J901" t="str">
        <f>CLEAN("CTH D  ")</f>
        <v xml:space="preserve">CTH D  </v>
      </c>
      <c r="K901" t="str">
        <f>CLEAN("WAUSHARA                      ")</f>
        <v xml:space="preserve">WAUSHARA                      </v>
      </c>
      <c r="L901" t="str">
        <f>CLEAN("STH 49 - WINNEBAGO CO LINE         ")</f>
        <v xml:space="preserve">STH 49 - WINNEBAGO CO LINE         </v>
      </c>
      <c r="M901" t="str">
        <f>CLEAN("WILLOW CREEK BRIDGE B-69-0973      ")</f>
        <v xml:space="preserve">WILLOW CREEK BRIDGE B-69-0973      </v>
      </c>
      <c r="N901">
        <v>0</v>
      </c>
      <c r="O901" t="str">
        <f t="shared" si="364"/>
        <v xml:space="preserve">          </v>
      </c>
      <c r="P901" t="str">
        <f>CLEAN("LOCAL BRIDGES                                                                                       ")</f>
        <v xml:space="preserve">LOCAL BRIDGES                                                                                       </v>
      </c>
    </row>
    <row r="902" spans="1:16" x14ac:dyDescent="0.25">
      <c r="A902" t="str">
        <f t="shared" si="352"/>
        <v>10</v>
      </c>
      <c r="B902" t="str">
        <f t="shared" si="365"/>
        <v>24</v>
      </c>
      <c r="C902" s="1">
        <v>46106</v>
      </c>
      <c r="D902" t="str">
        <f>CLEAN("6933-00-57")</f>
        <v>6933-00-57</v>
      </c>
      <c r="E902" t="str">
        <f>CLEAN("303  ")</f>
        <v xml:space="preserve">303  </v>
      </c>
      <c r="F902" t="str">
        <f>CLEAN("$250,000 - $499,999      ")</f>
        <v xml:space="preserve">$250,000 - $499,999      </v>
      </c>
      <c r="G902" t="str">
        <f>CLEAN("R/R")</f>
        <v>R/R</v>
      </c>
      <c r="H902" t="str">
        <f>CLEAN("NONLET CONSTR/REAL ESTATE")</f>
        <v>NONLET CONSTR/REAL ESTATE</v>
      </c>
      <c r="I902" t="str">
        <f>CLEAN("RAIL CROSSING SIGNALS 392695T      ")</f>
        <v xml:space="preserve">RAIL CROSSING SIGNALS 392695T      </v>
      </c>
      <c r="J902" t="str">
        <f>CLEAN("STH 173")</f>
        <v>STH 173</v>
      </c>
      <c r="K902" t="str">
        <f>CLEAN("WOOD                          ")</f>
        <v xml:space="preserve">WOOD                          </v>
      </c>
      <c r="L902" t="str">
        <f>CLEAN("BABCOCK - NEKOOSA                  ")</f>
        <v xml:space="preserve">BABCOCK - NEKOOSA                  </v>
      </c>
      <c r="M902" t="str">
        <f>CLEAN("STH 80 NB TO CRANBERRY BRIDGE      ")</f>
        <v xml:space="preserve">STH 80 NB TO CRANBERRY BRIDGE      </v>
      </c>
      <c r="N902">
        <v>0</v>
      </c>
      <c r="O902" t="str">
        <f t="shared" si="364"/>
        <v xml:space="preserve">          </v>
      </c>
      <c r="P902" t="str">
        <f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903" spans="1:16" x14ac:dyDescent="0.25">
      <c r="A903" t="str">
        <f t="shared" si="352"/>
        <v>10</v>
      </c>
      <c r="B903" t="str">
        <f t="shared" si="365"/>
        <v>24</v>
      </c>
      <c r="C903" s="1">
        <v>46106</v>
      </c>
      <c r="D903" t="str">
        <f>CLEAN("6933-00-58")</f>
        <v>6933-00-58</v>
      </c>
      <c r="E903" t="str">
        <f>CLEAN("303  ")</f>
        <v xml:space="preserve">303  </v>
      </c>
      <c r="F903" t="str">
        <f>CLEAN("$100,000-$249,999        ")</f>
        <v xml:space="preserve">$100,000-$249,999        </v>
      </c>
      <c r="G903" t="str">
        <f>CLEAN("R/R")</f>
        <v>R/R</v>
      </c>
      <c r="H903" t="str">
        <f>CLEAN("NONLET CONSTR/REAL ESTATE")</f>
        <v>NONLET CONSTR/REAL ESTATE</v>
      </c>
      <c r="I903" t="str">
        <f>CLEAN("RAIL CROSSING SURFACE              ")</f>
        <v xml:space="preserve">RAIL CROSSING SURFACE              </v>
      </c>
      <c r="J903" t="str">
        <f>CLEAN("STH 173")</f>
        <v>STH 173</v>
      </c>
      <c r="K903" t="str">
        <f>CLEAN("WOOD                          ")</f>
        <v xml:space="preserve">WOOD                          </v>
      </c>
      <c r="L903" t="str">
        <f>CLEAN("BABCOCK - NEKOOSA                  ")</f>
        <v xml:space="preserve">BABCOCK - NEKOOSA                  </v>
      </c>
      <c r="M903" t="str">
        <f>CLEAN("HAZELNUT TRAIL CROSSING 392692X    ")</f>
        <v xml:space="preserve">HAZELNUT TRAIL CROSSING 392692X    </v>
      </c>
      <c r="N903">
        <v>0</v>
      </c>
      <c r="O903" t="str">
        <f t="shared" si="364"/>
        <v xml:space="preserve">          </v>
      </c>
      <c r="P903" t="str">
        <f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904" spans="1:16" x14ac:dyDescent="0.25">
      <c r="A904" t="str">
        <f t="shared" si="352"/>
        <v>10</v>
      </c>
      <c r="B904" t="str">
        <f t="shared" si="365"/>
        <v>24</v>
      </c>
      <c r="C904" s="1">
        <v>46091</v>
      </c>
      <c r="D904" t="str">
        <f>CLEAN("6934-06-73")</f>
        <v>6934-06-73</v>
      </c>
      <c r="E904" t="str">
        <f>CLEAN("206  ")</f>
        <v xml:space="preserve">206  </v>
      </c>
      <c r="F904" t="str">
        <f>CLEAN("$4,000,000 - $4,999,999  ")</f>
        <v xml:space="preserve">$4,000,000 - $4,999,999  </v>
      </c>
      <c r="G904" t="str">
        <f>CLEAN("LET")</f>
        <v>LET</v>
      </c>
      <c r="H904" t="str">
        <f>CLEAN("LET CONSTRUCTION         ")</f>
        <v xml:space="preserve">LET CONSTRUCTION         </v>
      </c>
      <c r="I904" t="str">
        <f>CLEAN("CONST/RECONSTRUCT                  ")</f>
        <v xml:space="preserve">CONST/RECONSTRUCT                  </v>
      </c>
      <c r="J904" t="str">
        <f>CLEAN("CTH U  ")</f>
        <v xml:space="preserve">CTH U  </v>
      </c>
      <c r="K904" t="str">
        <f>CLEAN("WOOD                          ")</f>
        <v xml:space="preserve">WOOD                          </v>
      </c>
      <c r="L904" t="str">
        <f>CLEAN("V BIRON, CTH U                     ")</f>
        <v xml:space="preserve">V BIRON, CTH U                     </v>
      </c>
      <c r="M904" t="str">
        <f>CLEAN("BIRON DRIVE SOUTH TO HUFFMAN ROAD  ")</f>
        <v xml:space="preserve">BIRON DRIVE SOUTH TO HUFFMAN ROAD  </v>
      </c>
      <c r="N904">
        <v>2.1749999999999998</v>
      </c>
      <c r="O904" t="str">
        <f t="shared" si="364"/>
        <v xml:space="preserve">          </v>
      </c>
      <c r="P904" t="str">
        <f>CLEAN("STP URBAN 20,000 - 50,000                                                                           ")</f>
        <v xml:space="preserve">STP URBAN 20,000 - 50,000                                                                           </v>
      </c>
    </row>
    <row r="905" spans="1:16" x14ac:dyDescent="0.25">
      <c r="A905" t="str">
        <f t="shared" si="352"/>
        <v>10</v>
      </c>
      <c r="B905" t="str">
        <f t="shared" si="365"/>
        <v>24</v>
      </c>
      <c r="C905" s="1">
        <v>45972</v>
      </c>
      <c r="D905" t="str">
        <f>CLEAN("6942-01-72")</f>
        <v>6942-01-72</v>
      </c>
      <c r="E905" t="str">
        <f>CLEAN("206  ")</f>
        <v xml:space="preserve">206  </v>
      </c>
      <c r="F905" t="str">
        <f>CLEAN("$1,000,000 - $1,999,999  ")</f>
        <v xml:space="preserve">$1,000,000 - $1,999,999  </v>
      </c>
      <c r="G905" t="str">
        <f>CLEAN("LET")</f>
        <v>LET</v>
      </c>
      <c r="H905" t="str">
        <f>CLEAN("LET CONSTRUCTION         ")</f>
        <v xml:space="preserve">LET CONSTRUCTION         </v>
      </c>
      <c r="I905" t="str">
        <f>CLEAN("CONST/RECONSTRUCT                  ")</f>
        <v xml:space="preserve">CONST/RECONSTRUCT                  </v>
      </c>
      <c r="J905" t="str">
        <f>CLEAN("CTH F  ")</f>
        <v xml:space="preserve">CTH F  </v>
      </c>
      <c r="K905" t="str">
        <f>CLEAN("WOOD                          ")</f>
        <v xml:space="preserve">WOOD                          </v>
      </c>
      <c r="L905" t="str">
        <f>CLEAN("WISCONSIN RAPIDS - VESPER          ")</f>
        <v xml:space="preserve">WISCONSIN RAPIDS - VESPER          </v>
      </c>
      <c r="M905" t="str">
        <f>CLEAN("TOWN HALL ROAD TO CTH HH           ")</f>
        <v xml:space="preserve">TOWN HALL ROAD TO CTH HH           </v>
      </c>
      <c r="N905">
        <v>0.21</v>
      </c>
      <c r="O905" t="str">
        <f t="shared" si="364"/>
        <v xml:space="preserve">          </v>
      </c>
      <c r="P905" t="str">
        <f>CLEAN("STP RURAL                                                                                           ")</f>
        <v xml:space="preserve">STP RURAL                                                                                           </v>
      </c>
    </row>
    <row r="906" spans="1:16" x14ac:dyDescent="0.25">
      <c r="A906" t="str">
        <f t="shared" si="352"/>
        <v>10</v>
      </c>
      <c r="B906" t="str">
        <f t="shared" si="365"/>
        <v>24</v>
      </c>
      <c r="C906" s="1">
        <v>46047</v>
      </c>
      <c r="D906" t="str">
        <f>CLEAN("6950-04-24")</f>
        <v>6950-04-24</v>
      </c>
      <c r="E906" t="str">
        <f>CLEAN("303  ")</f>
        <v xml:space="preserve">303  </v>
      </c>
      <c r="F906" t="str">
        <f>CLEAN("$0 - $99,999             ")</f>
        <v xml:space="preserve">$0 - $99,999             </v>
      </c>
      <c r="G906" t="str">
        <f>CLEAN("R/E")</f>
        <v>R/E</v>
      </c>
      <c r="H906" t="str">
        <f>CLEAN("NONLET CONSTR/REAL ESTATE")</f>
        <v>NONLET CONSTR/REAL ESTATE</v>
      </c>
      <c r="I906" t="str">
        <f>CLEAN("REAL ESTATE/RESURFACE              ")</f>
        <v xml:space="preserve">REAL ESTATE/RESURFACE              </v>
      </c>
      <c r="J906" t="str">
        <f>CLEAN("STH 054")</f>
        <v>STH 054</v>
      </c>
      <c r="K906" t="str">
        <f>CLEAN("WOOD                          ")</f>
        <v xml:space="preserve">WOOD                          </v>
      </c>
      <c r="L906" t="str">
        <f>CLEAN("DEXTERVILLE - WISCONSIN RAPIDS     ")</f>
        <v xml:space="preserve">DEXTERVILLE - WISCONSIN RAPIDS     </v>
      </c>
      <c r="M906" t="str">
        <f>CLEAN("STH 80 TO CTH G                    ")</f>
        <v xml:space="preserve">STH 80 TO CTH G                    </v>
      </c>
      <c r="N906">
        <v>9.8699999999999992</v>
      </c>
      <c r="O906" t="str">
        <f t="shared" si="364"/>
        <v xml:space="preserve">          </v>
      </c>
      <c r="P906" t="str">
        <f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907" spans="1:16" x14ac:dyDescent="0.25">
      <c r="A907" t="str">
        <f t="shared" si="352"/>
        <v>10</v>
      </c>
      <c r="B907" t="str">
        <f t="shared" si="365"/>
        <v>24</v>
      </c>
      <c r="C907" s="1">
        <v>46016</v>
      </c>
      <c r="D907" t="str">
        <f>CLEAN("6990-02-20")</f>
        <v>6990-02-20</v>
      </c>
      <c r="E907" t="str">
        <f>CLEAN("303  ")</f>
        <v xml:space="preserve">303  </v>
      </c>
      <c r="F907" t="str">
        <f>CLEAN("$0 - $99,999             ")</f>
        <v xml:space="preserve">$0 - $99,999             </v>
      </c>
      <c r="G907" t="str">
        <f>CLEAN("R/E")</f>
        <v>R/E</v>
      </c>
      <c r="H907" t="str">
        <f>CLEAN("NONLET CONSTR/REAL ESTATE")</f>
        <v>NONLET CONSTR/REAL ESTATE</v>
      </c>
      <c r="I907" t="str">
        <f>CLEAN("REAL ESTATE/RESURFACE              ")</f>
        <v xml:space="preserve">REAL ESTATE/RESURFACE              </v>
      </c>
      <c r="J907" t="str">
        <f>CLEAN("STH 054")</f>
        <v>STH 054</v>
      </c>
      <c r="K907" t="str">
        <f>CLEAN("PORTAGE                       ")</f>
        <v xml:space="preserve">PORTAGE                       </v>
      </c>
      <c r="L907" t="str">
        <f>CLEAN("PLOVER - WAUPACA                   ")</f>
        <v xml:space="preserve">PLOVER - WAUPACA                   </v>
      </c>
      <c r="M907" t="str">
        <f>CLEAN("HARDING AVENUE TO WAUPACA CO LINE  ")</f>
        <v xml:space="preserve">HARDING AVENUE TO WAUPACA CO LINE  </v>
      </c>
      <c r="N907">
        <v>16.04</v>
      </c>
      <c r="O907" t="str">
        <f t="shared" si="364"/>
        <v xml:space="preserve">          </v>
      </c>
      <c r="P907" t="str">
        <f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908" spans="1:16" x14ac:dyDescent="0.25">
      <c r="A908" t="str">
        <f t="shared" si="352"/>
        <v>10</v>
      </c>
      <c r="B908" t="str">
        <f>CLEAN("21")</f>
        <v>21</v>
      </c>
      <c r="C908" s="1">
        <v>46091</v>
      </c>
      <c r="D908" t="str">
        <f>CLEAN("6994-00-72")</f>
        <v>6994-00-72</v>
      </c>
      <c r="E908" t="str">
        <f t="shared" ref="E908:E913" si="366">CLEAN("206  ")</f>
        <v xml:space="preserve">206  </v>
      </c>
      <c r="F908" t="str">
        <f>CLEAN("$3,000,000 - $3,999,999  ")</f>
        <v xml:space="preserve">$3,000,000 - $3,999,999  </v>
      </c>
      <c r="G908" t="str">
        <f t="shared" ref="G908:G913" si="367">CLEAN("LET")</f>
        <v>LET</v>
      </c>
      <c r="H908" t="str">
        <f t="shared" ref="H908:H913" si="368">CLEAN("LET CONSTRUCTION         ")</f>
        <v xml:space="preserve">LET CONSTRUCTION         </v>
      </c>
      <c r="I908" t="str">
        <f>CLEAN("CONST OPS/RECONSTRUCTION           ")</f>
        <v xml:space="preserve">CONST OPS/RECONSTRUCTION           </v>
      </c>
      <c r="J908" t="str">
        <f>CLEAN("CTH P  ")</f>
        <v xml:space="preserve">CTH P  </v>
      </c>
      <c r="K908" t="str">
        <f>CLEAN("COLUMBIA                      ")</f>
        <v xml:space="preserve">COLUMBIA                      </v>
      </c>
      <c r="L908" t="str">
        <f>CLEAN("V CAMBRIA - STH 73 (CTH P)         ")</f>
        <v xml:space="preserve">V CAMBRIA - STH 73 (CTH P)         </v>
      </c>
      <c r="M908" t="str">
        <f>CLEAN("KIKKERT COURT TO STH 73            ")</f>
        <v xml:space="preserve">KIKKERT COURT TO STH 73            </v>
      </c>
      <c r="N908">
        <v>4.62</v>
      </c>
      <c r="O908" t="str">
        <f t="shared" si="364"/>
        <v xml:space="preserve">          </v>
      </c>
      <c r="P908" t="str">
        <f>CLEAN("STP RURAL                                                                                           ")</f>
        <v xml:space="preserve">STP RURAL                                                                                           </v>
      </c>
    </row>
    <row r="909" spans="1:16" x14ac:dyDescent="0.25">
      <c r="A909" t="str">
        <f t="shared" si="352"/>
        <v>10</v>
      </c>
      <c r="B909" t="str">
        <f>CLEAN("21")</f>
        <v>21</v>
      </c>
      <c r="C909" s="1">
        <v>45972</v>
      </c>
      <c r="D909" t="str">
        <f>CLEAN("6995-00-20")</f>
        <v>6995-00-20</v>
      </c>
      <c r="E909" t="str">
        <f t="shared" si="366"/>
        <v xml:space="preserve">206  </v>
      </c>
      <c r="F909" t="str">
        <f>CLEAN("$250,000 - $499,999      ")</f>
        <v xml:space="preserve">$250,000 - $499,999      </v>
      </c>
      <c r="G909" t="str">
        <f t="shared" si="367"/>
        <v>LET</v>
      </c>
      <c r="H909" t="str">
        <f t="shared" si="368"/>
        <v xml:space="preserve">LET CONSTRUCTION         </v>
      </c>
      <c r="I909" t="str">
        <f>CLEAN("CONST OPS/PAVEMENT REPLACEMENT     ")</f>
        <v xml:space="preserve">CONST OPS/PAVEMENT REPLACEMENT     </v>
      </c>
      <c r="J909" t="str">
        <f t="shared" ref="J909:J914" si="369">CLEAN("LOC STR")</f>
        <v>LOC STR</v>
      </c>
      <c r="K909" t="str">
        <f>CLEAN("DODGE                         ")</f>
        <v xml:space="preserve">DODGE                         </v>
      </c>
      <c r="L909" t="str">
        <f>CLEAN("C BEAVER DAM, JUDSON DRIVE         ")</f>
        <v xml:space="preserve">C BEAVER DAM, JUDSON DRIVE         </v>
      </c>
      <c r="M909" t="str">
        <f>CLEAN("S SPRING STREET TO S LINCOLN AVENUE")</f>
        <v>S SPRING STREET TO S LINCOLN AVENUE</v>
      </c>
      <c r="N909">
        <v>0.27</v>
      </c>
      <c r="O909" t="str">
        <f t="shared" si="364"/>
        <v xml:space="preserve">          </v>
      </c>
      <c r="P909" t="str">
        <f>CLEAN("STP URBAN 5,000 - 20,000                                                                            ")</f>
        <v xml:space="preserve">STP URBAN 5,000 - 20,000                                                                            </v>
      </c>
    </row>
    <row r="910" spans="1:16" x14ac:dyDescent="0.25">
      <c r="A910" t="str">
        <f t="shared" si="352"/>
        <v>10</v>
      </c>
      <c r="B910" t="str">
        <f>CLEAN("21")</f>
        <v>21</v>
      </c>
      <c r="C910" s="1">
        <v>45944</v>
      </c>
      <c r="D910" t="str">
        <f>CLEAN("6995-04-74")</f>
        <v>6995-04-74</v>
      </c>
      <c r="E910" t="str">
        <f t="shared" si="366"/>
        <v xml:space="preserve">206  </v>
      </c>
      <c r="F910" t="str">
        <f>CLEAN("$2,000,000 - $2,999,999  ")</f>
        <v xml:space="preserve">$2,000,000 - $2,999,999  </v>
      </c>
      <c r="G910" t="str">
        <f t="shared" si="367"/>
        <v>LET</v>
      </c>
      <c r="H910" t="str">
        <f t="shared" si="368"/>
        <v xml:space="preserve">LET CONSTRUCTION         </v>
      </c>
      <c r="I910" t="str">
        <f>CLEAN("CONST OPS/RECONSTRUCTION           ")</f>
        <v xml:space="preserve">CONST OPS/RECONSTRUCTION           </v>
      </c>
      <c r="J910" t="str">
        <f t="shared" si="369"/>
        <v>LOC STR</v>
      </c>
      <c r="K910" t="str">
        <f>CLEAN("DODGE                         ")</f>
        <v xml:space="preserve">DODGE                         </v>
      </c>
      <c r="L910" t="str">
        <f>CLEAN("CITY OF BEAVER DAM, MADISON STREET ")</f>
        <v xml:space="preserve">CITY OF BEAVER DAM, MADISON STREET </v>
      </c>
      <c r="M910" t="str">
        <f>CLEAN("CHATHAM STREET TO ROWELL STREET    ")</f>
        <v xml:space="preserve">CHATHAM STREET TO ROWELL STREET    </v>
      </c>
      <c r="N910">
        <v>0.43</v>
      </c>
      <c r="O910" t="str">
        <f>CLEAN("6995-04-75")</f>
        <v>6995-04-75</v>
      </c>
      <c r="P910" t="str">
        <f>CLEAN("STP URBAN 5,000 - 20,000                                                                            ")</f>
        <v xml:space="preserve">STP URBAN 5,000 - 20,000                                                                            </v>
      </c>
    </row>
    <row r="911" spans="1:16" x14ac:dyDescent="0.25">
      <c r="A911" t="str">
        <f t="shared" si="352"/>
        <v>10</v>
      </c>
      <c r="B911" t="str">
        <f>CLEAN("21")</f>
        <v>21</v>
      </c>
      <c r="C911" s="1">
        <v>45944</v>
      </c>
      <c r="D911" t="str">
        <f>CLEAN("6995-04-75")</f>
        <v>6995-04-75</v>
      </c>
      <c r="E911" t="str">
        <f t="shared" si="366"/>
        <v xml:space="preserve">206  </v>
      </c>
      <c r="F911" t="str">
        <f>CLEAN("$1,000,000 - $1,999,999  ")</f>
        <v xml:space="preserve">$1,000,000 - $1,999,999  </v>
      </c>
      <c r="G911" t="str">
        <f t="shared" si="367"/>
        <v>LET</v>
      </c>
      <c r="H911" t="str">
        <f t="shared" si="368"/>
        <v xml:space="preserve">LET CONSTRUCTION         </v>
      </c>
      <c r="I911" t="str">
        <f>CLEAN("UTL OPS/SANITARY SEWER - WATER MAIN")</f>
        <v>UTL OPS/SANITARY SEWER - WATER MAIN</v>
      </c>
      <c r="J911" t="str">
        <f t="shared" si="369"/>
        <v>LOC STR</v>
      </c>
      <c r="K911" t="str">
        <f>CLEAN("DODGE                         ")</f>
        <v xml:space="preserve">DODGE                         </v>
      </c>
      <c r="L911" t="str">
        <f>CLEAN("CITY OF BEAVER DAM, MADISON STREET ")</f>
        <v xml:space="preserve">CITY OF BEAVER DAM, MADISON STREET </v>
      </c>
      <c r="M911" t="str">
        <f>CLEAN("CHATHAM STREET TO ROWELL STREET    ")</f>
        <v xml:space="preserve">CHATHAM STREET TO ROWELL STREET    </v>
      </c>
      <c r="N911">
        <v>0.43</v>
      </c>
      <c r="O911" t="str">
        <f>CLEAN("6995-04-74")</f>
        <v>6995-04-74</v>
      </c>
      <c r="P911" t="str">
        <f>CLEAN("STP URBAN 5,000 - 20,000                                                                            ")</f>
        <v xml:space="preserve">STP URBAN 5,000 - 20,000                                                                            </v>
      </c>
    </row>
    <row r="912" spans="1:16" x14ac:dyDescent="0.25">
      <c r="A912" t="str">
        <f t="shared" si="352"/>
        <v>10</v>
      </c>
      <c r="B912" t="str">
        <f t="shared" ref="B912:B924" si="370">CLEAN("24")</f>
        <v>24</v>
      </c>
      <c r="C912" s="1">
        <v>46091</v>
      </c>
      <c r="D912" t="str">
        <f>CLEAN("6995-07-71")</f>
        <v>6995-07-71</v>
      </c>
      <c r="E912" t="str">
        <f t="shared" si="366"/>
        <v xml:space="preserve">206  </v>
      </c>
      <c r="F912" t="str">
        <f>CLEAN("$1,000,000 - $1,999,999  ")</f>
        <v xml:space="preserve">$1,000,000 - $1,999,999  </v>
      </c>
      <c r="G912" t="str">
        <f t="shared" si="367"/>
        <v>LET</v>
      </c>
      <c r="H912" t="str">
        <f t="shared" si="368"/>
        <v xml:space="preserve">LET CONSTRUCTION         </v>
      </c>
      <c r="I912" t="str">
        <f>CLEAN("CONST/RECONSTRUCT                  ")</f>
        <v xml:space="preserve">CONST/RECONSTRUCT                  </v>
      </c>
      <c r="J912" t="str">
        <f t="shared" si="369"/>
        <v>LOC STR</v>
      </c>
      <c r="K912" t="str">
        <f>CLEAN("WOOD                          ")</f>
        <v xml:space="preserve">WOOD                          </v>
      </c>
      <c r="L912" t="str">
        <f>CLEAN("C MARSHFIELD, WEST 5TH STREET      ")</f>
        <v xml:space="preserve">C MARSHFIELD, WEST 5TH STREET      </v>
      </c>
      <c r="M912" t="str">
        <f>CLEAN("S OAK AVENUE TO S CHESTNUT AVENUE  ")</f>
        <v xml:space="preserve">S OAK AVENUE TO S CHESTNUT AVENUE  </v>
      </c>
      <c r="N912">
        <v>0.3</v>
      </c>
      <c r="O912" t="str">
        <f t="shared" ref="O912:O930" si="371">CLEAN("          ")</f>
        <v xml:space="preserve">          </v>
      </c>
      <c r="P912" t="str">
        <f>CLEAN("STP URBAN 5,000 - 20,000                                                                            ")</f>
        <v xml:space="preserve">STP URBAN 5,000 - 20,000                                                                            </v>
      </c>
    </row>
    <row r="913" spans="1:16" x14ac:dyDescent="0.25">
      <c r="A913" t="str">
        <f t="shared" si="352"/>
        <v>10</v>
      </c>
      <c r="B913" t="str">
        <f t="shared" si="370"/>
        <v>24</v>
      </c>
      <c r="C913" s="1">
        <v>46091</v>
      </c>
      <c r="D913" t="str">
        <f>CLEAN("6998-13-71")</f>
        <v>6998-13-71</v>
      </c>
      <c r="E913" t="str">
        <f t="shared" si="366"/>
        <v xml:space="preserve">206  </v>
      </c>
      <c r="F913" t="str">
        <f>CLEAN("$5,000,000 - $5,999,999  ")</f>
        <v xml:space="preserve">$5,000,000 - $5,999,999  </v>
      </c>
      <c r="G913" t="str">
        <f t="shared" si="367"/>
        <v>LET</v>
      </c>
      <c r="H913" t="str">
        <f t="shared" si="368"/>
        <v xml:space="preserve">LET CONSTRUCTION         </v>
      </c>
      <c r="I913" t="str">
        <f>CLEAN("CONST/RECONSTRUCT                  ")</f>
        <v xml:space="preserve">CONST/RECONSTRUCT                  </v>
      </c>
      <c r="J913" t="str">
        <f t="shared" si="369"/>
        <v>LOC STR</v>
      </c>
      <c r="K913" t="str">
        <f>CLEAN("PORTAGE                       ")</f>
        <v xml:space="preserve">PORTAGE                       </v>
      </c>
      <c r="L913" t="str">
        <f>CLEAN("C STEVENS POINT, POST RD/CHURCH ST ")</f>
        <v xml:space="preserve">C STEVENS POINT, POST RD/CHURCH ST </v>
      </c>
      <c r="M913" t="str">
        <f>CLEAN("SOUTH CITY LIMITS TO MICHIGAN AVE  ")</f>
        <v xml:space="preserve">SOUTH CITY LIMITS TO MICHIGAN AVE  </v>
      </c>
      <c r="N913">
        <v>0.46899999999999997</v>
      </c>
      <c r="O913" t="str">
        <f t="shared" si="371"/>
        <v xml:space="preserve">          </v>
      </c>
      <c r="P913" t="str">
        <f>CLEAN("STP URBAN 20,000 - 50,000                                                                           ")</f>
        <v xml:space="preserve">STP URBAN 20,000 - 50,000                                                                           </v>
      </c>
    </row>
    <row r="914" spans="1:16" x14ac:dyDescent="0.25">
      <c r="A914" t="str">
        <f t="shared" si="352"/>
        <v>10</v>
      </c>
      <c r="B914" t="str">
        <f t="shared" si="370"/>
        <v>24</v>
      </c>
      <c r="C914" s="1">
        <v>45925</v>
      </c>
      <c r="D914" t="str">
        <f>CLEAN("6998-14-71")</f>
        <v>6998-14-71</v>
      </c>
      <c r="E914" t="str">
        <f>CLEAN("290  ")</f>
        <v xml:space="preserve">290  </v>
      </c>
      <c r="F914" t="str">
        <f>CLEAN("$1,000,000 - $1,999,999  ")</f>
        <v xml:space="preserve">$1,000,000 - $1,999,999  </v>
      </c>
      <c r="G914" t="str">
        <f>CLEAN("LLC")</f>
        <v>LLC</v>
      </c>
      <c r="H914" t="str">
        <f>CLEAN("NONLET CONSTR/REAL ESTATE")</f>
        <v>NONLET CONSTR/REAL ESTATE</v>
      </c>
      <c r="I914" t="str">
        <f>CLEAN("CONST/TAP/MISC                     ")</f>
        <v xml:space="preserve">CONST/TAP/MISC                     </v>
      </c>
      <c r="J914" t="str">
        <f t="shared" si="369"/>
        <v>LOC STR</v>
      </c>
      <c r="K914" t="str">
        <f>CLEAN("PORTAGE                       ")</f>
        <v xml:space="preserve">PORTAGE                       </v>
      </c>
      <c r="L914" t="str">
        <f>CLEAN("PLOVER RIVER CROSSING PROJECT      ")</f>
        <v xml:space="preserve">PLOVER RIVER CROSSING PROJECT      </v>
      </c>
      <c r="M914" t="str">
        <f>CLEAN("HOFMEISTER DRIVE TO BENS LANE      ")</f>
        <v xml:space="preserve">HOFMEISTER DRIVE TO BENS LANE      </v>
      </c>
      <c r="N914">
        <v>0</v>
      </c>
      <c r="O914" t="str">
        <f t="shared" si="371"/>
        <v xml:space="preserve">          </v>
      </c>
      <c r="P914" t="str">
        <f>CLEAN("TAP 5,000 - 50,000                                                                                  ")</f>
        <v xml:space="preserve">TAP 5,000 - 50,000                                                                                  </v>
      </c>
    </row>
    <row r="915" spans="1:16" x14ac:dyDescent="0.25">
      <c r="A915" t="str">
        <f t="shared" si="352"/>
        <v>10</v>
      </c>
      <c r="B915" t="str">
        <f t="shared" si="370"/>
        <v>24</v>
      </c>
      <c r="C915" s="1">
        <v>46047</v>
      </c>
      <c r="D915" t="str">
        <f>CLEAN("6999-00-23")</f>
        <v>6999-00-23</v>
      </c>
      <c r="E915" t="str">
        <f>CLEAN("303  ")</f>
        <v xml:space="preserve">303  </v>
      </c>
      <c r="F915" t="str">
        <f>CLEAN("$0 - $99,999             ")</f>
        <v xml:space="preserve">$0 - $99,999             </v>
      </c>
      <c r="G915" t="str">
        <f>CLEAN("R/E")</f>
        <v>R/E</v>
      </c>
      <c r="H915" t="str">
        <f>CLEAN("NONLET CONSTR/REAL ESTATE")</f>
        <v>NONLET CONSTR/REAL ESTATE</v>
      </c>
      <c r="I915" t="str">
        <f>CLEAN("REAL ESTATE/PVRPLA                 ")</f>
        <v xml:space="preserve">REAL ESTATE/PVRPLA                 </v>
      </c>
      <c r="J915" t="str">
        <f>CLEAN("STH 052")</f>
        <v>STH 052</v>
      </c>
      <c r="K915" t="str">
        <f t="shared" ref="K915:K924" si="372">CLEAN("MARATHON                      ")</f>
        <v xml:space="preserve">MARATHON                      </v>
      </c>
      <c r="L915" t="str">
        <f>CLEAN("C WAUSAU, EAST WAUSAU AVENUE       ")</f>
        <v xml:space="preserve">C WAUSAU, EAST WAUSAU AVENUE       </v>
      </c>
      <c r="M915" t="str">
        <f>CLEAN("N 6TH STREET TO N 18TH STREET      ")</f>
        <v xml:space="preserve">N 6TH STREET TO N 18TH STREET      </v>
      </c>
      <c r="N915">
        <v>0.94399999999999995</v>
      </c>
      <c r="O915" t="str">
        <f t="shared" si="371"/>
        <v xml:space="preserve">          </v>
      </c>
      <c r="P915" t="str">
        <f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916" spans="1:16" x14ac:dyDescent="0.25">
      <c r="A916" t="str">
        <f t="shared" si="352"/>
        <v>10</v>
      </c>
      <c r="B916" t="str">
        <f t="shared" si="370"/>
        <v>24</v>
      </c>
      <c r="C916" s="1">
        <v>45986</v>
      </c>
      <c r="D916" t="str">
        <f>CLEAN("6999-00-24")</f>
        <v>6999-00-24</v>
      </c>
      <c r="E916" t="str">
        <f>CLEAN("303  ")</f>
        <v xml:space="preserve">303  </v>
      </c>
      <c r="F916" t="str">
        <f>CLEAN("$0 - $99,999             ")</f>
        <v xml:space="preserve">$0 - $99,999             </v>
      </c>
      <c r="G916" t="str">
        <f>CLEAN("R/E")</f>
        <v>R/E</v>
      </c>
      <c r="H916" t="str">
        <f>CLEAN("NONLET CONSTR/REAL ESTATE")</f>
        <v>NONLET CONSTR/REAL ESTATE</v>
      </c>
      <c r="I916" t="str">
        <f>CLEAN("REAL ESTATE/PVRPLA                 ")</f>
        <v xml:space="preserve">REAL ESTATE/PVRPLA                 </v>
      </c>
      <c r="J916" t="str">
        <f>CLEAN("STH B05")</f>
        <v>STH B05</v>
      </c>
      <c r="K916" t="str">
        <f t="shared" si="372"/>
        <v xml:space="preserve">MARATHON                      </v>
      </c>
      <c r="L916" t="str">
        <f>CLEAN("C WAUSAU, BADGER AVENUE            ")</f>
        <v xml:space="preserve">C WAUSAU, BADGER AVENUE            </v>
      </c>
      <c r="M916" t="str">
        <f>CLEAN("CTH U TO WEST CAMPUS DRIVE         ")</f>
        <v xml:space="preserve">CTH U TO WEST CAMPUS DRIVE         </v>
      </c>
      <c r="N916">
        <v>0.3</v>
      </c>
      <c r="O916" t="str">
        <f t="shared" si="371"/>
        <v xml:space="preserve">          </v>
      </c>
      <c r="P916" t="str">
        <f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917" spans="1:16" x14ac:dyDescent="0.25">
      <c r="A917" t="str">
        <f t="shared" si="352"/>
        <v>10</v>
      </c>
      <c r="B917" t="str">
        <f t="shared" si="370"/>
        <v>24</v>
      </c>
      <c r="C917" s="1">
        <v>46198</v>
      </c>
      <c r="D917" t="str">
        <f>CLEAN("6999-00-54")</f>
        <v>6999-00-54</v>
      </c>
      <c r="E917" t="str">
        <f>CLEAN("207  ")</f>
        <v xml:space="preserve">207  </v>
      </c>
      <c r="F917" t="str">
        <f>CLEAN("$250,000 - $499,999      ")</f>
        <v xml:space="preserve">$250,000 - $499,999      </v>
      </c>
      <c r="G917" t="str">
        <f>CLEAN("R/R")</f>
        <v>R/R</v>
      </c>
      <c r="H917" t="str">
        <f>CLEAN("NONLET CONSTR/REAL ESTATE")</f>
        <v>NONLET CONSTR/REAL ESTATE</v>
      </c>
      <c r="I917" t="str">
        <f>CLEAN("RR OPS/SAFETY/RAIL WARNING DEVICES ")</f>
        <v xml:space="preserve">RR OPS/SAFETY/RAIL WARNING DEVICES </v>
      </c>
      <c r="J917" t="str">
        <f>CLEAN("LOC STR")</f>
        <v>LOC STR</v>
      </c>
      <c r="K917" t="str">
        <f t="shared" si="372"/>
        <v xml:space="preserve">MARATHON                      </v>
      </c>
      <c r="L917" t="str">
        <f>CLEAN("C WAUSAU, SOUTH 5TH AVENUE         ")</f>
        <v xml:space="preserve">C WAUSAU, SOUTH 5TH AVENUE         </v>
      </c>
      <c r="M917" t="str">
        <f>CLEAN("FVLS RAIL SYSTEM CROSSING 182045H  ")</f>
        <v xml:space="preserve">FVLS RAIL SYSTEM CROSSING 182045H  </v>
      </c>
      <c r="N917">
        <v>0</v>
      </c>
      <c r="O917" t="str">
        <f t="shared" si="371"/>
        <v xml:space="preserve">          </v>
      </c>
      <c r="P917" t="str">
        <f>CLEAN("SAFETY - RAILROAD WARNING DEVICES                                                                   ")</f>
        <v xml:space="preserve">SAFETY - RAILROAD WARNING DEVICES                                                                   </v>
      </c>
    </row>
    <row r="918" spans="1:16" x14ac:dyDescent="0.25">
      <c r="A918" t="str">
        <f t="shared" si="352"/>
        <v>10</v>
      </c>
      <c r="B918" t="str">
        <f t="shared" si="370"/>
        <v>24</v>
      </c>
      <c r="C918" s="1">
        <v>45944</v>
      </c>
      <c r="D918" t="str">
        <f>CLEAN("6999-00-76")</f>
        <v>6999-00-76</v>
      </c>
      <c r="E918" t="str">
        <f>CLEAN("206  ")</f>
        <v xml:space="preserve">206  </v>
      </c>
      <c r="F918" t="str">
        <f>CLEAN("$1,000,000 - $1,999,999  ")</f>
        <v xml:space="preserve">$1,000,000 - $1,999,999  </v>
      </c>
      <c r="G918" t="str">
        <f>CLEAN("LET")</f>
        <v>LET</v>
      </c>
      <c r="H918" t="str">
        <f>CLEAN("LET CONSTRUCTION         ")</f>
        <v xml:space="preserve">LET CONSTRUCTION         </v>
      </c>
      <c r="I918" t="str">
        <f>CLEAN("CONST/RECONSTRUCT                  ")</f>
        <v xml:space="preserve">CONST/RECONSTRUCT                  </v>
      </c>
      <c r="J918" t="str">
        <f>CLEAN("LOC STR")</f>
        <v>LOC STR</v>
      </c>
      <c r="K918" t="str">
        <f t="shared" si="372"/>
        <v xml:space="preserve">MARATHON                      </v>
      </c>
      <c r="L918" t="str">
        <f>CLEAN("C WAUSAU, WEST WAUSAU AVENUE       ")</f>
        <v xml:space="preserve">C WAUSAU, WEST WAUSAU AVENUE       </v>
      </c>
      <c r="M918" t="str">
        <f>CLEAN("STEVENS DRIVE TO NORTH 10TH AVENUE ")</f>
        <v xml:space="preserve">STEVENS DRIVE TO NORTH 10TH AVENUE </v>
      </c>
      <c r="N918">
        <v>0.27</v>
      </c>
      <c r="O918" t="str">
        <f t="shared" si="371"/>
        <v xml:space="preserve">          </v>
      </c>
      <c r="P918" t="str">
        <f>CLEAN("STP URBAN 50,000 - 200,000                                                                          ")</f>
        <v xml:space="preserve">STP URBAN 50,000 - 200,000                                                                          </v>
      </c>
    </row>
    <row r="919" spans="1:16" x14ac:dyDescent="0.25">
      <c r="A919" t="str">
        <f t="shared" si="352"/>
        <v>10</v>
      </c>
      <c r="B919" t="str">
        <f t="shared" si="370"/>
        <v>24</v>
      </c>
      <c r="C919" s="1">
        <v>46259</v>
      </c>
      <c r="D919" t="str">
        <f>CLEAN("6999-02-20")</f>
        <v>6999-02-20</v>
      </c>
      <c r="E919" t="str">
        <f>CLEAN("303  ")</f>
        <v xml:space="preserve">303  </v>
      </c>
      <c r="F919" t="str">
        <f>CLEAN("$0 - $99,999             ")</f>
        <v xml:space="preserve">$0 - $99,999             </v>
      </c>
      <c r="G919" t="str">
        <f>CLEAN("R/E")</f>
        <v>R/E</v>
      </c>
      <c r="H919" t="str">
        <f t="shared" ref="H919:H924" si="373">CLEAN("NONLET CONSTR/REAL ESTATE")</f>
        <v>NONLET CONSTR/REAL ESTATE</v>
      </c>
      <c r="I919" t="str">
        <f>CLEAN("REAL ESTATE/PAVEMENT REPLACEMENT   ")</f>
        <v xml:space="preserve">REAL ESTATE/PAVEMENT REPLACEMENT   </v>
      </c>
      <c r="J919" t="str">
        <f>CLEAN("BUS 051")</f>
        <v>BUS 051</v>
      </c>
      <c r="K919" t="str">
        <f t="shared" si="372"/>
        <v xml:space="preserve">MARATHON                      </v>
      </c>
      <c r="L919" t="str">
        <f>CLEAN("C WAUSAU, GRAND AVENUE             ")</f>
        <v xml:space="preserve">C WAUSAU, GRAND AVENUE             </v>
      </c>
      <c r="M919" t="str">
        <f>CLEAN("LAKEVIEW DRIVE TO KENT STREET      ")</f>
        <v xml:space="preserve">LAKEVIEW DRIVE TO KENT STREET      </v>
      </c>
      <c r="N919">
        <v>0.26</v>
      </c>
      <c r="O919" t="str">
        <f t="shared" si="371"/>
        <v xml:space="preserve">          </v>
      </c>
      <c r="P919" t="str">
        <f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920" spans="1:16" x14ac:dyDescent="0.25">
      <c r="A920" t="str">
        <f t="shared" si="352"/>
        <v>10</v>
      </c>
      <c r="B920" t="str">
        <f t="shared" si="370"/>
        <v>24</v>
      </c>
      <c r="C920" s="1">
        <v>46016</v>
      </c>
      <c r="D920" t="str">
        <f>CLEAN("6999-02-21")</f>
        <v>6999-02-21</v>
      </c>
      <c r="E920" t="str">
        <f>CLEAN("303  ")</f>
        <v xml:space="preserve">303  </v>
      </c>
      <c r="F920" t="str">
        <f>CLEAN("$0 - $99,999             ")</f>
        <v xml:space="preserve">$0 - $99,999             </v>
      </c>
      <c r="G920" t="str">
        <f>CLEAN("R/E")</f>
        <v>R/E</v>
      </c>
      <c r="H920" t="str">
        <f t="shared" si="373"/>
        <v>NONLET CONSTR/REAL ESTATE</v>
      </c>
      <c r="I920" t="str">
        <f>CLEAN("REAL ESTATE/PAVEMENT REPLACEMENT   ")</f>
        <v xml:space="preserve">REAL ESTATE/PAVEMENT REPLACEMENT   </v>
      </c>
      <c r="J920" t="str">
        <f>CLEAN("STH B05")</f>
        <v>STH B05</v>
      </c>
      <c r="K920" t="str">
        <f t="shared" si="372"/>
        <v xml:space="preserve">MARATHON                      </v>
      </c>
      <c r="L920" t="str">
        <f>CLEAN("C WAUSAU, NORTH 3RD AVENUE         ")</f>
        <v xml:space="preserve">C WAUSAU, NORTH 3RD AVENUE         </v>
      </c>
      <c r="M920" t="str">
        <f>CLEAN("W UNION STREET TO W BRIDGE STREET  ")</f>
        <v xml:space="preserve">W UNION STREET TO W BRIDGE STREET  </v>
      </c>
      <c r="N920">
        <v>0</v>
      </c>
      <c r="O920" t="str">
        <f t="shared" si="371"/>
        <v xml:space="preserve">          </v>
      </c>
      <c r="P920" t="str">
        <f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921" spans="1:16" x14ac:dyDescent="0.25">
      <c r="A921" t="str">
        <f t="shared" si="352"/>
        <v>10</v>
      </c>
      <c r="B921" t="str">
        <f t="shared" si="370"/>
        <v>24</v>
      </c>
      <c r="C921" s="1">
        <v>45955</v>
      </c>
      <c r="D921" t="str">
        <f>CLEAN("6999-10-25")</f>
        <v>6999-10-25</v>
      </c>
      <c r="E921" t="str">
        <f>CLEAN("303  ")</f>
        <v xml:space="preserve">303  </v>
      </c>
      <c r="F921" t="str">
        <f>CLEAN("$0 - $99,999             ")</f>
        <v xml:space="preserve">$0 - $99,999             </v>
      </c>
      <c r="G921" t="str">
        <f>CLEAN("R/E")</f>
        <v>R/E</v>
      </c>
      <c r="H921" t="str">
        <f t="shared" si="373"/>
        <v>NONLET CONSTR/REAL ESTATE</v>
      </c>
      <c r="I921" t="str">
        <f>CLEAN("REAL ESTATE/PAVEMENT REPLACEMENT   ")</f>
        <v xml:space="preserve">REAL ESTATE/PAVEMENT REPLACEMENT   </v>
      </c>
      <c r="J921" t="str">
        <f>CLEAN("BUS 051")</f>
        <v>BUS 051</v>
      </c>
      <c r="K921" t="str">
        <f t="shared" si="372"/>
        <v xml:space="preserve">MARATHON                      </v>
      </c>
      <c r="L921" t="str">
        <f>CLEAN("ROTHSCHILD - SCHOFIELD             ")</f>
        <v xml:space="preserve">ROTHSCHILD - SCHOFIELD             </v>
      </c>
      <c r="M921" t="str">
        <f>CLEAN("EVEREST DRIVE TO SCHOFIELD AVENUE  ")</f>
        <v xml:space="preserve">EVEREST DRIVE TO SCHOFIELD AVENUE  </v>
      </c>
      <c r="N921">
        <v>1.25</v>
      </c>
      <c r="O921" t="str">
        <f t="shared" si="371"/>
        <v xml:space="preserve">          </v>
      </c>
      <c r="P921" t="str">
        <f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922" spans="1:16" x14ac:dyDescent="0.25">
      <c r="A922" t="str">
        <f t="shared" si="352"/>
        <v>10</v>
      </c>
      <c r="B922" t="str">
        <f t="shared" si="370"/>
        <v>24</v>
      </c>
      <c r="C922" s="1">
        <v>46259</v>
      </c>
      <c r="D922" t="str">
        <f>CLEAN("6999-14-75")</f>
        <v>6999-14-75</v>
      </c>
      <c r="E922" t="str">
        <f>CLEAN("290  ")</f>
        <v xml:space="preserve">290  </v>
      </c>
      <c r="F922" t="str">
        <f>CLEAN("$1,000,000 - $1,999,999  ")</f>
        <v xml:space="preserve">$1,000,000 - $1,999,999  </v>
      </c>
      <c r="G922" t="str">
        <f>CLEAN("LLC")</f>
        <v>LLC</v>
      </c>
      <c r="H922" t="str">
        <f t="shared" si="373"/>
        <v>NONLET CONSTR/REAL ESTATE</v>
      </c>
      <c r="I922" t="str">
        <f>CLEAN("CONST/TAP/MISC                     ")</f>
        <v xml:space="preserve">CONST/TAP/MISC                     </v>
      </c>
      <c r="J922" t="str">
        <f>CLEAN("NON HWY")</f>
        <v>NON HWY</v>
      </c>
      <c r="K922" t="str">
        <f t="shared" si="372"/>
        <v xml:space="preserve">MARATHON                      </v>
      </c>
      <c r="L922" t="str">
        <f>CLEAN("BUS 51 BIKE/PED BRIDGE/TRAIL       ")</f>
        <v xml:space="preserve">BUS 51 BIKE/PED BRIDGE/TRAIL       </v>
      </c>
      <c r="M922" t="str">
        <f>CLEAN("SUMMER STREET TO ROSS AVENUE       ")</f>
        <v xml:space="preserve">SUMMER STREET TO ROSS AVENUE       </v>
      </c>
      <c r="N922">
        <v>0</v>
      </c>
      <c r="O922" t="str">
        <f t="shared" si="371"/>
        <v xml:space="preserve">          </v>
      </c>
      <c r="P922" t="str">
        <f>CLEAN("TAP 50,000 - 200,000                                                                                ")</f>
        <v xml:space="preserve">TAP 50,000 - 200,000                                                                                </v>
      </c>
    </row>
    <row r="923" spans="1:16" x14ac:dyDescent="0.25">
      <c r="A923" t="str">
        <f t="shared" ref="A923:A986" si="374">CLEAN("10")</f>
        <v>10</v>
      </c>
      <c r="B923" t="str">
        <f t="shared" si="370"/>
        <v>24</v>
      </c>
      <c r="C923" s="1">
        <v>46259</v>
      </c>
      <c r="D923" t="str">
        <f>CLEAN("6999-18-23")</f>
        <v>6999-18-23</v>
      </c>
      <c r="E923" t="str">
        <f>CLEAN("303  ")</f>
        <v xml:space="preserve">303  </v>
      </c>
      <c r="F923" t="str">
        <f>CLEAN("$0 - $99,999             ")</f>
        <v xml:space="preserve">$0 - $99,999             </v>
      </c>
      <c r="G923" t="str">
        <f>CLEAN("R/E")</f>
        <v>R/E</v>
      </c>
      <c r="H923" t="str">
        <f t="shared" si="373"/>
        <v>NONLET CONSTR/REAL ESTATE</v>
      </c>
      <c r="I923" t="str">
        <f>CLEAN("REAL ESTATE/PAVEMENT REPLACEMENT   ")</f>
        <v xml:space="preserve">REAL ESTATE/PAVEMENT REPLACEMENT   </v>
      </c>
      <c r="J923" t="str">
        <f>CLEAN("BUS 051")</f>
        <v>BUS 051</v>
      </c>
      <c r="K923" t="str">
        <f t="shared" si="372"/>
        <v xml:space="preserve">MARATHON                      </v>
      </c>
      <c r="L923" t="str">
        <f>CLEAN("C SCHOFIELD, GRAND AVENUE          ")</f>
        <v xml:space="preserve">C SCHOFIELD, GRAND AVENUE          </v>
      </c>
      <c r="M923" t="str">
        <f>CLEAN("EAU CLAIRE RVR BRDGE TO LAKEVIEW DR")</f>
        <v>EAU CLAIRE RVR BRDGE TO LAKEVIEW DR</v>
      </c>
      <c r="N923">
        <v>1.01</v>
      </c>
      <c r="O923" t="str">
        <f t="shared" si="371"/>
        <v xml:space="preserve">          </v>
      </c>
      <c r="P923" t="str">
        <f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924" spans="1:16" x14ac:dyDescent="0.25">
      <c r="A924" t="str">
        <f t="shared" si="374"/>
        <v>10</v>
      </c>
      <c r="B924" t="str">
        <f t="shared" si="370"/>
        <v>24</v>
      </c>
      <c r="C924" s="1">
        <v>46137</v>
      </c>
      <c r="D924" t="str">
        <f>CLEAN("6999-18-81")</f>
        <v>6999-18-81</v>
      </c>
      <c r="E924" t="str">
        <f>CLEAN("290  ")</f>
        <v xml:space="preserve">290  </v>
      </c>
      <c r="F924" t="str">
        <f>CLEAN("$1,000,000 - $1,999,999  ")</f>
        <v xml:space="preserve">$1,000,000 - $1,999,999  </v>
      </c>
      <c r="G924" t="str">
        <f>CLEAN("LLC")</f>
        <v>LLC</v>
      </c>
      <c r="H924" t="str">
        <f t="shared" si="373"/>
        <v>NONLET CONSTR/REAL ESTATE</v>
      </c>
      <c r="I924" t="str">
        <f>CLEAN("CONST/TAP/MISC                     ")</f>
        <v xml:space="preserve">CONST/TAP/MISC                     </v>
      </c>
      <c r="J924" t="str">
        <f>CLEAN("NON HWY")</f>
        <v>NON HWY</v>
      </c>
      <c r="K924" t="str">
        <f t="shared" si="372"/>
        <v xml:space="preserve">MARATHON                      </v>
      </c>
      <c r="L924" t="str">
        <f>CLEAN("BUSINESS CAMPUS TRAIL E/W CONNECTOR")</f>
        <v>BUSINESS CAMPUS TRAIL E/W CONNECTOR</v>
      </c>
      <c r="M924" t="str">
        <f>CLEAN("84TH AVENUE TO 72ND AVENUE         ")</f>
        <v xml:space="preserve">84TH AVENUE TO 72ND AVENUE         </v>
      </c>
      <c r="N924">
        <v>0</v>
      </c>
      <c r="O924" t="str">
        <f t="shared" si="371"/>
        <v xml:space="preserve">          </v>
      </c>
      <c r="P924" t="str">
        <f>CLEAN("TAP 50,000 - 200,000                                                                                ")</f>
        <v xml:space="preserve">TAP 50,000 - 200,000                                                                                </v>
      </c>
    </row>
    <row r="925" spans="1:16" x14ac:dyDescent="0.25">
      <c r="A925" t="str">
        <f t="shared" si="374"/>
        <v>10</v>
      </c>
      <c r="B925" t="str">
        <f>CLEAN("21")</f>
        <v>21</v>
      </c>
      <c r="C925" s="1">
        <v>46245</v>
      </c>
      <c r="D925" t="str">
        <f>CLEAN("7005-00-71")</f>
        <v>7005-00-71</v>
      </c>
      <c r="E925" t="str">
        <f>CLEAN("205  ")</f>
        <v xml:space="preserve">205  </v>
      </c>
      <c r="F925" t="str">
        <f>CLEAN("$500,000 - $749,999      ")</f>
        <v xml:space="preserve">$500,000 - $749,999      </v>
      </c>
      <c r="G925" t="str">
        <f>CLEAN("LET")</f>
        <v>LET</v>
      </c>
      <c r="H925" t="str">
        <f>CLEAN("LET CONSTRUCTION         ")</f>
        <v xml:space="preserve">LET CONSTRUCTION         </v>
      </c>
      <c r="I925" t="str">
        <f>CLEAN("CONST/BRIDGE REPLACEMENT           ")</f>
        <v xml:space="preserve">CONST/BRIDGE REPLACEMENT           </v>
      </c>
      <c r="J925" t="str">
        <f>CLEAN("LOC STR")</f>
        <v>LOC STR</v>
      </c>
      <c r="K925" t="str">
        <f>CLEAN("MONROE                        ")</f>
        <v xml:space="preserve">MONROE                        </v>
      </c>
      <c r="L925" t="str">
        <f>CLEAN("T LAGRANGE, ELLSWORTH ROAD         ")</f>
        <v xml:space="preserve">T LAGRANGE, ELLSWORTH ROAD         </v>
      </c>
      <c r="M925" t="str">
        <f>CLEAN("BR MILL CREEK BRIDGE, B-41-0338    ")</f>
        <v xml:space="preserve">BR MILL CREEK BRIDGE, B-41-0338    </v>
      </c>
      <c r="N925">
        <v>3.1E-2</v>
      </c>
      <c r="O925" t="str">
        <f t="shared" si="371"/>
        <v xml:space="preserve">          </v>
      </c>
      <c r="P925" t="str">
        <f>CLEAN("LOCAL BRIDGES                                                                                       ")</f>
        <v xml:space="preserve">LOCAL BRIDGES                                                                                       </v>
      </c>
    </row>
    <row r="926" spans="1:16" x14ac:dyDescent="0.25">
      <c r="A926" t="str">
        <f t="shared" si="374"/>
        <v>10</v>
      </c>
      <c r="B926" t="str">
        <f t="shared" ref="B926:B937" si="375">CLEAN("25")</f>
        <v>25</v>
      </c>
      <c r="C926" s="1">
        <v>45986</v>
      </c>
      <c r="D926" t="str">
        <f>CLEAN("7030-00-22")</f>
        <v>7030-00-22</v>
      </c>
      <c r="E926" t="str">
        <f t="shared" ref="E926:E933" si="376">CLEAN("303  ")</f>
        <v xml:space="preserve">303  </v>
      </c>
      <c r="F926" t="str">
        <f>CLEAN("$0 - $99,999             ")</f>
        <v xml:space="preserve">$0 - $99,999             </v>
      </c>
      <c r="G926" t="str">
        <f>CLEAN("R/E")</f>
        <v>R/E</v>
      </c>
      <c r="H926" t="str">
        <f>CLEAN("NONLET CONSTR/REAL ESTATE")</f>
        <v>NONLET CONSTR/REAL ESTATE</v>
      </c>
      <c r="I926" t="str">
        <f>CLEAN("REAL ESTATE ACQUISITION            ")</f>
        <v xml:space="preserve">REAL ESTATE ACQUISITION            </v>
      </c>
      <c r="J926" t="str">
        <f>CLEAN("USH 010")</f>
        <v>USH 010</v>
      </c>
      <c r="K926" t="str">
        <f>CLEAN("CLARK                         ")</f>
        <v xml:space="preserve">CLARK                         </v>
      </c>
      <c r="L926" t="str">
        <f>CLEAN("NEILLSVILLE - MARSHFIELD           ")</f>
        <v xml:space="preserve">NEILLSVILLE - MARSHFIELD           </v>
      </c>
      <c r="M926" t="str">
        <f>CLEAN("STH 73 TO EAST COUNTY LINE         ")</f>
        <v xml:space="preserve">STH 73 TO EAST COUNTY LINE         </v>
      </c>
      <c r="N926">
        <v>16.32</v>
      </c>
      <c r="O926" t="str">
        <f t="shared" si="371"/>
        <v xml:space="preserve">          </v>
      </c>
      <c r="P926" t="str">
        <f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927" spans="1:16" x14ac:dyDescent="0.25">
      <c r="A927" t="str">
        <f t="shared" si="374"/>
        <v>10</v>
      </c>
      <c r="B927" t="str">
        <f t="shared" si="375"/>
        <v>25</v>
      </c>
      <c r="C927" s="1">
        <v>45944</v>
      </c>
      <c r="D927" t="str">
        <f>CLEAN("7040-00-72")</f>
        <v>7040-00-72</v>
      </c>
      <c r="E927" t="str">
        <f t="shared" si="376"/>
        <v xml:space="preserve">303  </v>
      </c>
      <c r="F927" t="str">
        <f>CLEAN("$2,000,000 - $2,999,999  ")</f>
        <v xml:space="preserve">$2,000,000 - $2,999,999  </v>
      </c>
      <c r="G927" t="str">
        <f>CLEAN("LET")</f>
        <v>LET</v>
      </c>
      <c r="H927" t="str">
        <f>CLEAN("LET CONSTRUCTION         ")</f>
        <v xml:space="preserve">LET CONSTRUCTION         </v>
      </c>
      <c r="I927" t="str">
        <f>CLEAN("CONSTRUCTION/PSRS30                ")</f>
        <v xml:space="preserve">CONSTRUCTION/PSRS30                </v>
      </c>
      <c r="J927" t="str">
        <f>CLEAN("STH 098")</f>
        <v>STH 098</v>
      </c>
      <c r="K927" t="str">
        <f>CLEAN("CLARK                         ")</f>
        <v xml:space="preserve">CLARK                         </v>
      </c>
      <c r="L927" t="str">
        <f>CLEAN("GREENWOOD - SPENCER                ")</f>
        <v xml:space="preserve">GREENWOOD - SPENCER                </v>
      </c>
      <c r="M927" t="str">
        <f>CLEAN("STH 73 TO HELM STREET              ")</f>
        <v xml:space="preserve">STH 73 TO HELM STREET              </v>
      </c>
      <c r="N927">
        <v>4.4870000000000001</v>
      </c>
      <c r="O927" t="str">
        <f t="shared" si="371"/>
        <v xml:space="preserve">          </v>
      </c>
      <c r="P927" t="str">
        <f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928" spans="1:16" x14ac:dyDescent="0.25">
      <c r="A928" t="str">
        <f t="shared" si="374"/>
        <v>10</v>
      </c>
      <c r="B928" t="str">
        <f t="shared" si="375"/>
        <v>25</v>
      </c>
      <c r="C928" s="1">
        <v>45986</v>
      </c>
      <c r="D928" t="str">
        <f>CLEAN("7080-00-26")</f>
        <v>7080-00-26</v>
      </c>
      <c r="E928" t="str">
        <f t="shared" si="376"/>
        <v xml:space="preserve">303  </v>
      </c>
      <c r="F928" t="str">
        <f>CLEAN("$0 - $99,999             ")</f>
        <v xml:space="preserve">$0 - $99,999             </v>
      </c>
      <c r="G928" t="str">
        <f>CLEAN("R/E")</f>
        <v>R/E</v>
      </c>
      <c r="H928" t="str">
        <f>CLEAN("NONLET CONSTR/REAL ESTATE")</f>
        <v>NONLET CONSTR/REAL ESTATE</v>
      </c>
      <c r="I928" t="str">
        <f>CLEAN("REAL ESTATE ACQUISITION            ")</f>
        <v xml:space="preserve">REAL ESTATE ACQUISITION            </v>
      </c>
      <c r="J928" t="str">
        <f>CLEAN("USH 012")</f>
        <v>USH 012</v>
      </c>
      <c r="K928" t="str">
        <f>CLEAN("EAU CLAIRE                    ")</f>
        <v xml:space="preserve">EAU CLAIRE                    </v>
      </c>
      <c r="L928" t="str">
        <f>CLEAN("EAU CLAIRE - FAIRCHILD             ")</f>
        <v xml:space="preserve">EAU CLAIRE - FAIRCHILD             </v>
      </c>
      <c r="M928" t="str">
        <f>CLEAN("FIRST TRESTLE CREEK B-18-0073      ")</f>
        <v xml:space="preserve">FIRST TRESTLE CREEK B-18-0073      </v>
      </c>
      <c r="N928">
        <v>0</v>
      </c>
      <c r="O928" t="str">
        <f t="shared" si="371"/>
        <v xml:space="preserve">          </v>
      </c>
      <c r="P928" t="str">
        <f>CLEAN("SHR BRIDGES                                                                                         ")</f>
        <v xml:space="preserve">SHR BRIDGES                                                                                         </v>
      </c>
    </row>
    <row r="929" spans="1:16" x14ac:dyDescent="0.25">
      <c r="A929" t="str">
        <f t="shared" si="374"/>
        <v>10</v>
      </c>
      <c r="B929" t="str">
        <f t="shared" si="375"/>
        <v>25</v>
      </c>
      <c r="C929" s="1">
        <v>45986</v>
      </c>
      <c r="D929" t="str">
        <f>CLEAN("7080-00-27")</f>
        <v>7080-00-27</v>
      </c>
      <c r="E929" t="str">
        <f t="shared" si="376"/>
        <v xml:space="preserve">303  </v>
      </c>
      <c r="F929" t="str">
        <f>CLEAN("$0 - $99,999             ")</f>
        <v xml:space="preserve">$0 - $99,999             </v>
      </c>
      <c r="G929" t="str">
        <f>CLEAN("R/E")</f>
        <v>R/E</v>
      </c>
      <c r="H929" t="str">
        <f>CLEAN("NONLET CONSTR/REAL ESTATE")</f>
        <v>NONLET CONSTR/REAL ESTATE</v>
      </c>
      <c r="I929" t="str">
        <f>CLEAN("REAL ESTATE ACQUISITION            ")</f>
        <v xml:space="preserve">REAL ESTATE ACQUISITION            </v>
      </c>
      <c r="J929" t="str">
        <f>CLEAN("USH 012")</f>
        <v>USH 012</v>
      </c>
      <c r="K929" t="str">
        <f>CLEAN("EAU CLAIRE                    ")</f>
        <v xml:space="preserve">EAU CLAIRE                    </v>
      </c>
      <c r="L929" t="str">
        <f>CLEAN("EAU CLAIRE - FAIRCHILD             ")</f>
        <v xml:space="preserve">EAU CLAIRE - FAIRCHILD             </v>
      </c>
      <c r="M929" t="str">
        <f>CLEAN("DIAMOND VALLEY CREEK B-18-0074     ")</f>
        <v xml:space="preserve">DIAMOND VALLEY CREEK B-18-0074     </v>
      </c>
      <c r="N929">
        <v>0</v>
      </c>
      <c r="O929" t="str">
        <f t="shared" si="371"/>
        <v xml:space="preserve">          </v>
      </c>
      <c r="P929" t="str">
        <f>CLEAN("SHR BRIDGES                                                                                         ")</f>
        <v xml:space="preserve">SHR BRIDGES                                                                                         </v>
      </c>
    </row>
    <row r="930" spans="1:16" x14ac:dyDescent="0.25">
      <c r="A930" t="str">
        <f t="shared" si="374"/>
        <v>10</v>
      </c>
      <c r="B930" t="str">
        <f t="shared" si="375"/>
        <v>25</v>
      </c>
      <c r="C930" s="1">
        <v>45986</v>
      </c>
      <c r="D930" t="str">
        <f>CLEAN("7090-00-22")</f>
        <v>7090-00-22</v>
      </c>
      <c r="E930" t="str">
        <f t="shared" si="376"/>
        <v xml:space="preserve">303  </v>
      </c>
      <c r="F930" t="str">
        <f>CLEAN("$0 - $99,999             ")</f>
        <v xml:space="preserve">$0 - $99,999             </v>
      </c>
      <c r="G930" t="str">
        <f>CLEAN("R/E")</f>
        <v>R/E</v>
      </c>
      <c r="H930" t="str">
        <f>CLEAN("NONLET CONSTR/REAL ESTATE")</f>
        <v>NONLET CONSTR/REAL ESTATE</v>
      </c>
      <c r="I930" t="str">
        <f>CLEAN("REAL ESTATE ACQUISITION            ")</f>
        <v xml:space="preserve">REAL ESTATE ACQUISITION            </v>
      </c>
      <c r="J930" t="str">
        <f>CLEAN("USH 012")</f>
        <v>USH 012</v>
      </c>
      <c r="K930" t="str">
        <f>CLEAN("EAU CLAIRE                    ")</f>
        <v xml:space="preserve">EAU CLAIRE                    </v>
      </c>
      <c r="L930" t="str">
        <f>CLEAN("EAU CLAIRE - FAIRCHILD             ")</f>
        <v xml:space="preserve">EAU CLAIRE - FAIRCHILD             </v>
      </c>
      <c r="M930" t="str">
        <f>CLEAN("OTTER CREEK BRIDGE B-18-0113       ")</f>
        <v xml:space="preserve">OTTER CREEK BRIDGE B-18-0113       </v>
      </c>
      <c r="N930">
        <v>0</v>
      </c>
      <c r="O930" t="str">
        <f t="shared" si="371"/>
        <v xml:space="preserve">          </v>
      </c>
      <c r="P930" t="str">
        <f>CLEAN("SHR LARGE BRIDGES                                                                                   ")</f>
        <v xml:space="preserve">SHR LARGE BRIDGES                                                                                   </v>
      </c>
    </row>
    <row r="931" spans="1:16" x14ac:dyDescent="0.25">
      <c r="A931" t="str">
        <f t="shared" si="374"/>
        <v>10</v>
      </c>
      <c r="B931" t="str">
        <f t="shared" si="375"/>
        <v>25</v>
      </c>
      <c r="C931" s="1">
        <v>46063</v>
      </c>
      <c r="D931" t="str">
        <f>CLEAN("7120-00-74")</f>
        <v>7120-00-74</v>
      </c>
      <c r="E931" t="str">
        <f t="shared" si="376"/>
        <v xml:space="preserve">303  </v>
      </c>
      <c r="F931" t="str">
        <f>CLEAN("$3,000,000 - $3,999,999  ")</f>
        <v xml:space="preserve">$3,000,000 - $3,999,999  </v>
      </c>
      <c r="G931" t="str">
        <f>CLEAN("LET")</f>
        <v>LET</v>
      </c>
      <c r="H931" t="str">
        <f>CLEAN("LET CONSTRUCTION         ")</f>
        <v xml:space="preserve">LET CONSTRUCTION         </v>
      </c>
      <c r="I931" t="str">
        <f>CLEAN("CONSTRUCTION/RESURFACE             ")</f>
        <v xml:space="preserve">CONSTRUCTION/RESURFACE             </v>
      </c>
      <c r="J931" t="str">
        <f>CLEAN("STH 085")</f>
        <v>STH 085</v>
      </c>
      <c r="K931" t="str">
        <f>CLEAN("DUNN                          ")</f>
        <v xml:space="preserve">DUNN                          </v>
      </c>
      <c r="L931" t="str">
        <f>CLEAN("DURAND - EAU CLAIRE                ")</f>
        <v xml:space="preserve">DURAND - EAU CLAIRE                </v>
      </c>
      <c r="M931" t="str">
        <f>CLEAN("CTH O TO 1010TH STREET             ")</f>
        <v xml:space="preserve">CTH O TO 1010TH STREET             </v>
      </c>
      <c r="N931">
        <v>4.5999999999999996</v>
      </c>
      <c r="O931" t="str">
        <f>CLEAN("7120-00-76")</f>
        <v>7120-00-76</v>
      </c>
      <c r="P931" t="str">
        <f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932" spans="1:16" x14ac:dyDescent="0.25">
      <c r="A932" t="str">
        <f t="shared" si="374"/>
        <v>10</v>
      </c>
      <c r="B932" t="str">
        <f t="shared" si="375"/>
        <v>25</v>
      </c>
      <c r="C932" s="1">
        <v>46063</v>
      </c>
      <c r="D932" t="str">
        <f>CLEAN("7120-00-76")</f>
        <v>7120-00-76</v>
      </c>
      <c r="E932" t="str">
        <f t="shared" si="376"/>
        <v xml:space="preserve">303  </v>
      </c>
      <c r="F932" t="str">
        <f>CLEAN("$750,000 - $999,999      ")</f>
        <v xml:space="preserve">$750,000 - $999,999      </v>
      </c>
      <c r="G932" t="str">
        <f>CLEAN("LET")</f>
        <v>LET</v>
      </c>
      <c r="H932" t="str">
        <f>CLEAN("LET CONSTRUCTION         ")</f>
        <v xml:space="preserve">LET CONSTRUCTION         </v>
      </c>
      <c r="I932" t="str">
        <f>CLEAN("CONSTRUCTION/BRRPL                 ")</f>
        <v xml:space="preserve">CONSTRUCTION/BRRPL                 </v>
      </c>
      <c r="J932" t="str">
        <f>CLEAN("STH 085")</f>
        <v>STH 085</v>
      </c>
      <c r="K932" t="str">
        <f>CLEAN("DUNN                          ")</f>
        <v xml:space="preserve">DUNN                          </v>
      </c>
      <c r="L932" t="str">
        <f>CLEAN("DURAND - EAU CLAIRE                ")</f>
        <v xml:space="preserve">DURAND - EAU CLAIRE                </v>
      </c>
      <c r="M932" t="str">
        <f>CLEAN("BR CHIPPEWA RIVER BRIDGE B-17-0370 ")</f>
        <v xml:space="preserve">BR CHIPPEWA RIVER BRIDGE B-17-0370 </v>
      </c>
      <c r="N932">
        <v>1.7999999999999999E-2</v>
      </c>
      <c r="O932" t="str">
        <f>CLEAN("7120-00-74")</f>
        <v>7120-00-74</v>
      </c>
      <c r="P932" t="str">
        <f>CLEAN("SHR BRIDGES                                                                                         ")</f>
        <v xml:space="preserve">SHR BRIDGES                                                                                         </v>
      </c>
    </row>
    <row r="933" spans="1:16" x14ac:dyDescent="0.25">
      <c r="A933" t="str">
        <f t="shared" si="374"/>
        <v>10</v>
      </c>
      <c r="B933" t="str">
        <f t="shared" si="375"/>
        <v>25</v>
      </c>
      <c r="C933" s="1">
        <v>45894</v>
      </c>
      <c r="D933" t="str">
        <f>CLEAN("7125-00-60")</f>
        <v>7125-00-60</v>
      </c>
      <c r="E933" t="str">
        <f t="shared" si="376"/>
        <v xml:space="preserve">303  </v>
      </c>
      <c r="F933" t="str">
        <f>CLEAN("$0 - $99,999             ")</f>
        <v xml:space="preserve">$0 - $99,999             </v>
      </c>
      <c r="G933" t="str">
        <f>CLEAN("LFA")</f>
        <v>LFA</v>
      </c>
      <c r="H933" t="str">
        <f>CLEAN("NONLET CONSTR/REAL ESTATE")</f>
        <v>NONLET CONSTR/REAL ESTATE</v>
      </c>
      <c r="I933" t="str">
        <f>CLEAN("CONST/LFA/CULVERT WORK             ")</f>
        <v xml:space="preserve">CONST/LFA/CULVERT WORK             </v>
      </c>
      <c r="J933" t="str">
        <f>CLEAN("VAR HWY")</f>
        <v>VAR HWY</v>
      </c>
      <c r="K933" t="str">
        <f>CLEAN("BUFFALO                       ")</f>
        <v xml:space="preserve">BUFFALO                       </v>
      </c>
      <c r="L933" t="str">
        <f>CLEAN("BUFFALO COUNTY, VARIOUS HIGHWAYS   ")</f>
        <v xml:space="preserve">BUFFALO COUNTY, VARIOUS HIGHWAYS   </v>
      </c>
      <c r="M933" t="str">
        <f>CLEAN("VARIOUS LOCATIONS COUNTYWIDE       ")</f>
        <v xml:space="preserve">VARIOUS LOCATIONS COUNTYWIDE       </v>
      </c>
      <c r="N933">
        <v>0.317</v>
      </c>
      <c r="O933" t="str">
        <f>CLEAN("          ")</f>
        <v xml:space="preserve">          </v>
      </c>
      <c r="P933" t="str">
        <f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934" spans="1:16" x14ac:dyDescent="0.25">
      <c r="A934" t="str">
        <f t="shared" si="374"/>
        <v>10</v>
      </c>
      <c r="B934" t="str">
        <f t="shared" si="375"/>
        <v>25</v>
      </c>
      <c r="C934" s="1">
        <v>46091</v>
      </c>
      <c r="D934" t="str">
        <f>CLEAN("7146-00-75")</f>
        <v>7146-00-75</v>
      </c>
      <c r="E934" t="str">
        <f>CLEAN("206  ")</f>
        <v xml:space="preserve">206  </v>
      </c>
      <c r="F934" t="str">
        <f>CLEAN("$3,000,000 - $3,999,999  ")</f>
        <v xml:space="preserve">$3,000,000 - $3,999,999  </v>
      </c>
      <c r="G934" t="str">
        <f>CLEAN("LET")</f>
        <v>LET</v>
      </c>
      <c r="H934" t="str">
        <f>CLEAN("LET CONSTRUCTION         ")</f>
        <v xml:space="preserve">LET CONSTRUCTION         </v>
      </c>
      <c r="I934" t="str">
        <f>CLEAN("CONSTRUCTION/RECONDITION           ")</f>
        <v xml:space="preserve">CONSTRUCTION/RECONDITION           </v>
      </c>
      <c r="J934" t="str">
        <f>CLEAN("CTH D  ")</f>
        <v xml:space="preserve">CTH D  </v>
      </c>
      <c r="K934" t="str">
        <f>CLEAN("TREMPEALEAU                   ")</f>
        <v xml:space="preserve">TREMPEALEAU                   </v>
      </c>
      <c r="L934" t="str">
        <f>CLEAN("ETTRICK - JACKSON COUNTY LINE      ")</f>
        <v xml:space="preserve">ETTRICK - JACKSON COUNTY LINE      </v>
      </c>
      <c r="M934" t="str">
        <f>CLEAN("SIMONSON LN TO JACKSON COUNTY LINE ")</f>
        <v xml:space="preserve">SIMONSON LN TO JACKSON COUNTY LINE </v>
      </c>
      <c r="N934">
        <v>3.76</v>
      </c>
      <c r="O934" t="str">
        <f>CLEAN("          ")</f>
        <v xml:space="preserve">          </v>
      </c>
      <c r="P934" t="str">
        <f>CLEAN("STP RURAL                                                                                           ")</f>
        <v xml:space="preserve">STP RURAL                                                                                           </v>
      </c>
    </row>
    <row r="935" spans="1:16" x14ac:dyDescent="0.25">
      <c r="A935" t="str">
        <f t="shared" si="374"/>
        <v>10</v>
      </c>
      <c r="B935" t="str">
        <f t="shared" si="375"/>
        <v>25</v>
      </c>
      <c r="C935" s="1">
        <v>46000</v>
      </c>
      <c r="D935" t="str">
        <f>CLEAN("7146-00-76")</f>
        <v>7146-00-76</v>
      </c>
      <c r="E935" t="str">
        <f>CLEAN("205  ")</f>
        <v xml:space="preserve">205  </v>
      </c>
      <c r="F935" t="str">
        <f>CLEAN("$500,000 - $749,999      ")</f>
        <v xml:space="preserve">$500,000 - $749,999      </v>
      </c>
      <c r="G935" t="str">
        <f>CLEAN("LET")</f>
        <v>LET</v>
      </c>
      <c r="H935" t="str">
        <f>CLEAN("LET CONSTRUCTION         ")</f>
        <v xml:space="preserve">LET CONSTRUCTION         </v>
      </c>
      <c r="I935" t="str">
        <f>CLEAN("CONSTRUCTION/BRRPL                 ")</f>
        <v xml:space="preserve">CONSTRUCTION/BRRPL                 </v>
      </c>
      <c r="J935" t="str">
        <f>CLEAN("CTH D  ")</f>
        <v xml:space="preserve">CTH D  </v>
      </c>
      <c r="K935" t="str">
        <f>CLEAN("TREMPEALEAU                   ")</f>
        <v xml:space="preserve">TREMPEALEAU                   </v>
      </c>
      <c r="L935" t="str">
        <f>CLEAN("WHITEHALL - STRUM                  ")</f>
        <v xml:space="preserve">WHITEHALL - STRUM                  </v>
      </c>
      <c r="M935" t="str">
        <f>CLEAN("ELK CREEK BRIDGE B-61-0293         ")</f>
        <v xml:space="preserve">ELK CREEK BRIDGE B-61-0293         </v>
      </c>
      <c r="N935">
        <v>8.4000000000000005E-2</v>
      </c>
      <c r="O935" t="str">
        <f>CLEAN("          ")</f>
        <v xml:space="preserve">          </v>
      </c>
      <c r="P935" t="str">
        <f>CLEAN("LOCAL BRIDGES                                                                                       ")</f>
        <v xml:space="preserve">LOCAL BRIDGES                                                                                       </v>
      </c>
    </row>
    <row r="936" spans="1:16" x14ac:dyDescent="0.25">
      <c r="A936" t="str">
        <f t="shared" si="374"/>
        <v>10</v>
      </c>
      <c r="B936" t="str">
        <f t="shared" si="375"/>
        <v>25</v>
      </c>
      <c r="C936" s="1">
        <v>46035</v>
      </c>
      <c r="D936" t="str">
        <f>CLEAN("7160-00-72")</f>
        <v>7160-00-72</v>
      </c>
      <c r="E936" t="str">
        <f>CLEAN("303  ")</f>
        <v xml:space="preserve">303  </v>
      </c>
      <c r="F936" t="str">
        <f>CLEAN("$500,000 - $749,999      ")</f>
        <v xml:space="preserve">$500,000 - $749,999      </v>
      </c>
      <c r="G936" t="str">
        <f>CLEAN("LET")</f>
        <v>LET</v>
      </c>
      <c r="H936" t="str">
        <f>CLEAN("LET CONSTRUCTION         ")</f>
        <v xml:space="preserve">LET CONSTRUCTION         </v>
      </c>
      <c r="I936" t="str">
        <f>CLEAN("CONSTRUCTION/BRRHB/CONCRETE OVERLAY")</f>
        <v>CONSTRUCTION/BRRHB/CONCRETE OVERLAY</v>
      </c>
      <c r="J936" t="str">
        <f>CLEAN("STH 035")</f>
        <v>STH 035</v>
      </c>
      <c r="K936" t="str">
        <f>CLEAN("BUFFALO                       ")</f>
        <v xml:space="preserve">BUFFALO                       </v>
      </c>
      <c r="L936" t="str">
        <f>CLEAN("FOUNTAIN CITY - ALMA               ")</f>
        <v xml:space="preserve">FOUNTAIN CITY - ALMA               </v>
      </c>
      <c r="M936" t="str">
        <f>CLEAN("WAUMANDEE CREEK BRIDGE B-06-0059   ")</f>
        <v xml:space="preserve">WAUMANDEE CREEK BRIDGE B-06-0059   </v>
      </c>
      <c r="N936">
        <v>6.4000000000000001E-2</v>
      </c>
      <c r="O936" t="str">
        <f>CLEAN("          ")</f>
        <v xml:space="preserve">          </v>
      </c>
      <c r="P936" t="str">
        <f>CLEAN("SHR BRIDGES                                                                                         ")</f>
        <v xml:space="preserve">SHR BRIDGES                                                                                         </v>
      </c>
    </row>
    <row r="937" spans="1:16" x14ac:dyDescent="0.25">
      <c r="A937" t="str">
        <f t="shared" si="374"/>
        <v>10</v>
      </c>
      <c r="B937" t="str">
        <f t="shared" si="375"/>
        <v>25</v>
      </c>
      <c r="C937" s="1">
        <v>46000</v>
      </c>
      <c r="D937" t="str">
        <f>CLEAN("7160-04-76")</f>
        <v>7160-04-76</v>
      </c>
      <c r="E937" t="str">
        <f>CLEAN("303  ")</f>
        <v xml:space="preserve">303  </v>
      </c>
      <c r="F937" t="str">
        <f>CLEAN("$5,000,000 - $5,999,999  ")</f>
        <v xml:space="preserve">$5,000,000 - $5,999,999  </v>
      </c>
      <c r="G937" t="str">
        <f>CLEAN("LET")</f>
        <v>LET</v>
      </c>
      <c r="H937" t="str">
        <f>CLEAN("LET CONSTRUCTION         ")</f>
        <v xml:space="preserve">LET CONSTRUCTION         </v>
      </c>
      <c r="I937" t="str">
        <f>CLEAN("CONSTRUCTION/RESURFACE             ")</f>
        <v xml:space="preserve">CONSTRUCTION/RESURFACE             </v>
      </c>
      <c r="J937" t="str">
        <f>CLEAN("STH 035")</f>
        <v>STH 035</v>
      </c>
      <c r="K937" t="str">
        <f>CLEAN("BUFFALO                       ")</f>
        <v xml:space="preserve">BUFFALO                       </v>
      </c>
      <c r="L937" t="str">
        <f>CLEAN("TREMPEALEAU - ALMA                 ")</f>
        <v xml:space="preserve">TREMPEALEAU - ALMA                 </v>
      </c>
      <c r="M937" t="str">
        <f>CLEAN("OLD STH 35 TO INDIAN CREEK RD      ")</f>
        <v xml:space="preserve">OLD STH 35 TO INDIAN CREEK RD      </v>
      </c>
      <c r="N937">
        <v>8.5760000000000005</v>
      </c>
      <c r="O937" t="str">
        <f>CLEAN("7550-00-76")</f>
        <v>7550-00-76</v>
      </c>
      <c r="P937" t="str">
        <f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938" spans="1:16" x14ac:dyDescent="0.25">
      <c r="A938" t="str">
        <f t="shared" si="374"/>
        <v>10</v>
      </c>
      <c r="B938" t="str">
        <f>CLEAN("21")</f>
        <v>21</v>
      </c>
      <c r="C938" s="1">
        <v>45955</v>
      </c>
      <c r="D938" t="str">
        <f>CLEAN("7188-02-23")</f>
        <v>7188-02-23</v>
      </c>
      <c r="E938" t="str">
        <f>CLEAN("303  ")</f>
        <v xml:space="preserve">303  </v>
      </c>
      <c r="F938" t="str">
        <f>CLEAN("$0 - $99,999             ")</f>
        <v xml:space="preserve">$0 - $99,999             </v>
      </c>
      <c r="G938" t="str">
        <f>CLEAN("R/E")</f>
        <v>R/E</v>
      </c>
      <c r="H938" t="str">
        <f>CLEAN("NONLET CONSTR/REAL ESTATE")</f>
        <v>NONLET CONSTR/REAL ESTATE</v>
      </c>
      <c r="I938" t="str">
        <f>CLEAN("RE OPS/7188-02-73/RSRF             ")</f>
        <v xml:space="preserve">RE OPS/7188-02-73/RSRF             </v>
      </c>
      <c r="J938" t="str">
        <f>CLEAN("USH 012")</f>
        <v>USH 012</v>
      </c>
      <c r="K938" t="str">
        <f>CLEAN("MONROE                        ")</f>
        <v xml:space="preserve">MONROE                        </v>
      </c>
      <c r="L938" t="str">
        <f>CLEAN("BLACK RIVER FALLS - TOMAH          ")</f>
        <v xml:space="preserve">BLACK RIVER FALLS - TOMAH          </v>
      </c>
      <c r="M938" t="str">
        <f>CLEAN("JACKSON COUNTY LINE TO CTH O       ")</f>
        <v xml:space="preserve">JACKSON COUNTY LINE TO CTH O       </v>
      </c>
      <c r="N938">
        <v>8.51</v>
      </c>
      <c r="O938" t="str">
        <f t="shared" ref="O938:O954" si="377">CLEAN("          ")</f>
        <v xml:space="preserve">          </v>
      </c>
      <c r="P938" t="str">
        <f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939" spans="1:16" x14ac:dyDescent="0.25">
      <c r="A939" t="str">
        <f t="shared" si="374"/>
        <v>10</v>
      </c>
      <c r="B939" t="str">
        <f>CLEAN("21")</f>
        <v>21</v>
      </c>
      <c r="C939" s="1">
        <v>46137</v>
      </c>
      <c r="D939" t="str">
        <f>CLEAN("7188-04-22")</f>
        <v>7188-04-22</v>
      </c>
      <c r="E939" t="str">
        <f>CLEAN("303  ")</f>
        <v xml:space="preserve">303  </v>
      </c>
      <c r="F939" t="str">
        <f>CLEAN("$0 - $99,999             ")</f>
        <v xml:space="preserve">$0 - $99,999             </v>
      </c>
      <c r="G939" t="str">
        <f>CLEAN("R/E")</f>
        <v>R/E</v>
      </c>
      <c r="H939" t="str">
        <f>CLEAN("NONLET CONSTR/REAL ESTATE")</f>
        <v>NONLET CONSTR/REAL ESTATE</v>
      </c>
      <c r="I939" t="str">
        <f>CLEAN("RE OPS/ 7188-04-72 / PVRPLA        ")</f>
        <v xml:space="preserve">RE OPS/ 7188-04-72 / PVRPLA        </v>
      </c>
      <c r="J939" t="str">
        <f>CLEAN("USH 012")</f>
        <v>USH 012</v>
      </c>
      <c r="K939" t="str">
        <f>CLEAN("MONROE                        ")</f>
        <v xml:space="preserve">MONROE                        </v>
      </c>
      <c r="L939" t="str">
        <f>CLEAN("BLACK RIVER FALLS - TOMAH          ")</f>
        <v xml:space="preserve">BLACK RIVER FALLS - TOMAH          </v>
      </c>
      <c r="M939" t="str">
        <f>CLEAN("CTH O TO 0.25 MI N OF IH 94 RAMP   ")</f>
        <v xml:space="preserve">CTH O TO 0.25 MI N OF IH 94 RAMP   </v>
      </c>
      <c r="N939">
        <v>2.4209999999999998</v>
      </c>
      <c r="O939" t="str">
        <f t="shared" si="377"/>
        <v xml:space="preserve">          </v>
      </c>
      <c r="P939" t="str">
        <f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940" spans="1:16" x14ac:dyDescent="0.25">
      <c r="A940" t="str">
        <f t="shared" si="374"/>
        <v>10</v>
      </c>
      <c r="B940" t="str">
        <f>CLEAN("21")</f>
        <v>21</v>
      </c>
      <c r="C940" s="1">
        <v>46198</v>
      </c>
      <c r="D940" t="str">
        <f>CLEAN("7189-04-51")</f>
        <v>7189-04-51</v>
      </c>
      <c r="E940" t="str">
        <f>CLEAN("207  ")</f>
        <v xml:space="preserve">207  </v>
      </c>
      <c r="F940" t="str">
        <f>CLEAN("$100,000-$249,999        ")</f>
        <v xml:space="preserve">$100,000-$249,999        </v>
      </c>
      <c r="G940" t="str">
        <f>CLEAN("R/R")</f>
        <v>R/R</v>
      </c>
      <c r="H940" t="str">
        <f>CLEAN("NONLET CONSTR/REAL ESTATE")</f>
        <v>NONLET CONSTR/REAL ESTATE</v>
      </c>
      <c r="I940" t="str">
        <f>CLEAN("RR OPS/NEW CROSSING SURFACE/MISC   ")</f>
        <v xml:space="preserve">RR OPS/NEW CROSSING SURFACE/MISC   </v>
      </c>
      <c r="J940" t="str">
        <f>CLEAN("USH 012")</f>
        <v>USH 012</v>
      </c>
      <c r="K940" t="str">
        <f>CLEAN("MONROE                        ")</f>
        <v xml:space="preserve">MONROE                        </v>
      </c>
      <c r="L940" t="str">
        <f>CLEAN("C TOMAH, USH 12                    ")</f>
        <v xml:space="preserve">C TOMAH, USH 12                    </v>
      </c>
      <c r="M940" t="str">
        <f>CLEAN("UNION PACIFIC RR XING 179298M      ")</f>
        <v xml:space="preserve">UNION PACIFIC RR XING 179298M      </v>
      </c>
      <c r="N940">
        <v>0</v>
      </c>
      <c r="O940" t="str">
        <f t="shared" si="377"/>
        <v xml:space="preserve">          </v>
      </c>
      <c r="P940" t="str">
        <f>CLEAN("RAILROAD CROSSING REPAIR                                                                            ")</f>
        <v xml:space="preserve">RAILROAD CROSSING REPAIR                                                                            </v>
      </c>
    </row>
    <row r="941" spans="1:16" x14ac:dyDescent="0.25">
      <c r="A941" t="str">
        <f t="shared" si="374"/>
        <v>10</v>
      </c>
      <c r="B941" t="str">
        <f>CLEAN("25")</f>
        <v>25</v>
      </c>
      <c r="C941" s="1">
        <v>45972</v>
      </c>
      <c r="D941" t="str">
        <f>CLEAN("7229-00-70")</f>
        <v>7229-00-70</v>
      </c>
      <c r="E941" t="str">
        <f>CLEAN("206  ")</f>
        <v xml:space="preserve">206  </v>
      </c>
      <c r="F941" t="str">
        <f>CLEAN("$1,000,000 - $1,999,999  ")</f>
        <v xml:space="preserve">$1,000,000 - $1,999,999  </v>
      </c>
      <c r="G941" t="str">
        <f>CLEAN("LET")</f>
        <v>LET</v>
      </c>
      <c r="H941" t="str">
        <f>CLEAN("LET CONSTRUCTION         ")</f>
        <v xml:space="preserve">LET CONSTRUCTION         </v>
      </c>
      <c r="I941" t="str">
        <f>CLEAN("CONSTRUCTION/PVRPLA                ")</f>
        <v xml:space="preserve">CONSTRUCTION/PVRPLA                </v>
      </c>
      <c r="J941" t="str">
        <f>CLEAN("CTH B  ")</f>
        <v xml:space="preserve">CTH B  </v>
      </c>
      <c r="K941" t="str">
        <f>CLEAN("BUFFALO                       ")</f>
        <v xml:space="preserve">BUFFALO                       </v>
      </c>
      <c r="L941" t="str">
        <f>CLEAN("STH 37 - GILMANTON                 ")</f>
        <v xml:space="preserve">STH 37 - GILMANTON                 </v>
      </c>
      <c r="M941" t="str">
        <f>CLEAN("STH 37 TO STH 88                   ")</f>
        <v xml:space="preserve">STH 37 TO STH 88                   </v>
      </c>
      <c r="N941">
        <v>2.5590000000000002</v>
      </c>
      <c r="O941" t="str">
        <f t="shared" si="377"/>
        <v xml:space="preserve">          </v>
      </c>
      <c r="P941" t="str">
        <f>CLEAN("STP RURAL                                                                                           ")</f>
        <v xml:space="preserve">STP RURAL                                                                                           </v>
      </c>
    </row>
    <row r="942" spans="1:16" x14ac:dyDescent="0.25">
      <c r="A942" t="str">
        <f t="shared" si="374"/>
        <v>10</v>
      </c>
      <c r="B942" t="str">
        <f>CLEAN("25")</f>
        <v>25</v>
      </c>
      <c r="C942" s="1">
        <v>46063</v>
      </c>
      <c r="D942" t="str">
        <f>CLEAN("7240-00-70")</f>
        <v>7240-00-70</v>
      </c>
      <c r="E942" t="str">
        <f>CLEAN("205  ")</f>
        <v xml:space="preserve">205  </v>
      </c>
      <c r="F942" t="str">
        <f>CLEAN("$250,000 - $499,999      ")</f>
        <v xml:space="preserve">$250,000 - $499,999      </v>
      </c>
      <c r="G942" t="str">
        <f>CLEAN("LET")</f>
        <v>LET</v>
      </c>
      <c r="H942" t="str">
        <f>CLEAN("LET CONSTRUCTION         ")</f>
        <v xml:space="preserve">LET CONSTRUCTION         </v>
      </c>
      <c r="I942" t="str">
        <f>CLEAN("CONSTRUCTION/BRRPL                 ")</f>
        <v xml:space="preserve">CONSTRUCTION/BRRPL                 </v>
      </c>
      <c r="J942" t="str">
        <f>CLEAN("LOC STR")</f>
        <v>LOC STR</v>
      </c>
      <c r="K942" t="str">
        <f>CLEAN("JACKSON                       ")</f>
        <v xml:space="preserve">JACKSON                       </v>
      </c>
      <c r="L942" t="str">
        <f>CLEAN("T ALBION, OLD HWY 54 RD            ")</f>
        <v xml:space="preserve">T ALBION, OLD HWY 54 RD            </v>
      </c>
      <c r="M942" t="str">
        <f>CLEAN("SPRING CREEK BRIDGE B-27-0183      ")</f>
        <v xml:space="preserve">SPRING CREEK BRIDGE B-27-0183      </v>
      </c>
      <c r="N942">
        <v>0</v>
      </c>
      <c r="O942" t="str">
        <f t="shared" si="377"/>
        <v xml:space="preserve">          </v>
      </c>
      <c r="P942" t="str">
        <f>CLEAN("LOCAL BRIDGES                                                                                       ")</f>
        <v xml:space="preserve">LOCAL BRIDGES                                                                                       </v>
      </c>
    </row>
    <row r="943" spans="1:16" x14ac:dyDescent="0.25">
      <c r="A943" t="str">
        <f t="shared" si="374"/>
        <v>10</v>
      </c>
      <c r="B943" t="str">
        <f>CLEAN("25")</f>
        <v>25</v>
      </c>
      <c r="C943" s="1">
        <v>46063</v>
      </c>
      <c r="D943" t="str">
        <f>CLEAN("7250-00-70")</f>
        <v>7250-00-70</v>
      </c>
      <c r="E943" t="str">
        <f>CLEAN("205  ")</f>
        <v xml:space="preserve">205  </v>
      </c>
      <c r="F943" t="str">
        <f>CLEAN("$750,000 - $999,999      ")</f>
        <v xml:space="preserve">$750,000 - $999,999      </v>
      </c>
      <c r="G943" t="str">
        <f>CLEAN("LET")</f>
        <v>LET</v>
      </c>
      <c r="H943" t="str">
        <f>CLEAN("LET CONSTRUCTION         ")</f>
        <v xml:space="preserve">LET CONSTRUCTION         </v>
      </c>
      <c r="I943" t="str">
        <f>CLEAN("CONSTRUCTION/BRIDGE REPLACEMENT    ")</f>
        <v xml:space="preserve">CONSTRUCTION/BRIDGE REPLACEMENT    </v>
      </c>
      <c r="J943" t="str">
        <f>CLEAN("LOC STR")</f>
        <v>LOC STR</v>
      </c>
      <c r="K943" t="str">
        <f>CLEAN("JACKSON                       ")</f>
        <v xml:space="preserve">JACKSON                       </v>
      </c>
      <c r="L943" t="str">
        <f>CLEAN("T HIXTON, CAIN ROAD                ")</f>
        <v xml:space="preserve">T HIXTON, CAIN ROAD                </v>
      </c>
      <c r="M943" t="str">
        <f>CLEAN("N BR TREMPEALEAU RIVER BR B-27-0178")</f>
        <v>N BR TREMPEALEAU RIVER BR B-27-0178</v>
      </c>
      <c r="N943">
        <v>0</v>
      </c>
      <c r="O943" t="str">
        <f t="shared" si="377"/>
        <v xml:space="preserve">          </v>
      </c>
      <c r="P943" t="str">
        <f>CLEAN("LOCAL BRIDGES                                                                                       ")</f>
        <v xml:space="preserve">LOCAL BRIDGES                                                                                       </v>
      </c>
    </row>
    <row r="944" spans="1:16" x14ac:dyDescent="0.25">
      <c r="A944" t="str">
        <f t="shared" si="374"/>
        <v>10</v>
      </c>
      <c r="B944" t="str">
        <f>CLEAN("25")</f>
        <v>25</v>
      </c>
      <c r="C944" s="1">
        <v>46063</v>
      </c>
      <c r="D944" t="str">
        <f>CLEAN("7251-00-71")</f>
        <v>7251-00-71</v>
      </c>
      <c r="E944" t="str">
        <f>CLEAN("205  ")</f>
        <v xml:space="preserve">205  </v>
      </c>
      <c r="F944" t="str">
        <f>CLEAN("$1,000,000 - $1,999,999  ")</f>
        <v xml:space="preserve">$1,000,000 - $1,999,999  </v>
      </c>
      <c r="G944" t="str">
        <f>CLEAN("LET")</f>
        <v>LET</v>
      </c>
      <c r="H944" t="str">
        <f>CLEAN("LET CONSTRUCTION         ")</f>
        <v xml:space="preserve">LET CONSTRUCTION         </v>
      </c>
      <c r="I944" t="str">
        <f>CLEAN("CONSTRUCTION/BRRPL                 ")</f>
        <v xml:space="preserve">CONSTRUCTION/BRRPL                 </v>
      </c>
      <c r="J944" t="str">
        <f>CLEAN("LOC STR")</f>
        <v>LOC STR</v>
      </c>
      <c r="K944" t="str">
        <f>CLEAN("JACKSON                       ")</f>
        <v xml:space="preserve">JACKSON                       </v>
      </c>
      <c r="L944" t="str">
        <f>CLEAN("T IRVING, NICHOLS ROAD             ")</f>
        <v xml:space="preserve">T IRVING, NICHOLS ROAD             </v>
      </c>
      <c r="M944" t="str">
        <f>CLEAN("TROUT RUN CREEK BRIDGE B-27-0184   ")</f>
        <v xml:space="preserve">TROUT RUN CREEK BRIDGE B-27-0184   </v>
      </c>
      <c r="N944">
        <v>0</v>
      </c>
      <c r="O944" t="str">
        <f t="shared" si="377"/>
        <v xml:space="preserve">          </v>
      </c>
      <c r="P944" t="str">
        <f>CLEAN("LOCAL BRIDGES                                                                                       ")</f>
        <v xml:space="preserve">LOCAL BRIDGES                                                                                       </v>
      </c>
    </row>
    <row r="945" spans="1:16" x14ac:dyDescent="0.25">
      <c r="A945" t="str">
        <f t="shared" si="374"/>
        <v>10</v>
      </c>
      <c r="B945" t="str">
        <f>CLEAN("21")</f>
        <v>21</v>
      </c>
      <c r="C945" s="1">
        <v>46167</v>
      </c>
      <c r="D945" t="str">
        <f>CLEAN("7269-00-72")</f>
        <v>7269-00-72</v>
      </c>
      <c r="E945" t="str">
        <f>CLEAN("290  ")</f>
        <v xml:space="preserve">290  </v>
      </c>
      <c r="F945" t="str">
        <f>CLEAN("$250,000 - $499,999      ")</f>
        <v xml:space="preserve">$250,000 - $499,999      </v>
      </c>
      <c r="G945" t="str">
        <f>CLEAN("LLC")</f>
        <v>LLC</v>
      </c>
      <c r="H945" t="str">
        <f>CLEAN("NONLET CONSTR/REAL ESTATE")</f>
        <v>NONLET CONSTR/REAL ESTATE</v>
      </c>
      <c r="I945" t="str">
        <f>CLEAN("BIKE/PD TRAIL                      ")</f>
        <v xml:space="preserve">BIKE/PD TRAIL                      </v>
      </c>
      <c r="J945" t="str">
        <f>CLEAN("NON HWY")</f>
        <v>NON HWY</v>
      </c>
      <c r="K945" t="str">
        <f>CLEAN("LA CROSSE                     ")</f>
        <v xml:space="preserve">LA CROSSE                     </v>
      </c>
      <c r="L945" t="str">
        <f>CLEAN("T HOLLAND, HOLLAND BLUFF TRAIL     ")</f>
        <v xml:space="preserve">T HOLLAND, HOLLAND BLUFF TRAIL     </v>
      </c>
      <c r="M945" t="str">
        <f>CLEAN("BLUFFVIEW CT TO SLYVESTER RD       ")</f>
        <v xml:space="preserve">BLUFFVIEW CT TO SLYVESTER RD       </v>
      </c>
      <c r="N945">
        <v>1.88</v>
      </c>
      <c r="O945" t="str">
        <f t="shared" si="377"/>
        <v xml:space="preserve">          </v>
      </c>
      <c r="P945" t="str">
        <f>CLEAN("TAP 50,000 - 200,000                                                                                ")</f>
        <v xml:space="preserve">TAP 50,000 - 200,000                                                                                </v>
      </c>
    </row>
    <row r="946" spans="1:16" x14ac:dyDescent="0.25">
      <c r="A946" t="str">
        <f t="shared" si="374"/>
        <v>10</v>
      </c>
      <c r="B946" t="str">
        <f t="shared" ref="B946:B951" si="378">CLEAN("25")</f>
        <v>25</v>
      </c>
      <c r="C946" s="1">
        <v>46126</v>
      </c>
      <c r="D946" t="str">
        <f>CLEAN("7276-00-75")</f>
        <v>7276-00-75</v>
      </c>
      <c r="E946" t="str">
        <f>CLEAN("205  ")</f>
        <v xml:space="preserve">205  </v>
      </c>
      <c r="F946" t="str">
        <f>CLEAN("$250,000 - $499,999      ")</f>
        <v xml:space="preserve">$250,000 - $499,999      </v>
      </c>
      <c r="G946" t="str">
        <f t="shared" ref="G946:G952" si="379">CLEAN("LET")</f>
        <v>LET</v>
      </c>
      <c r="H946" t="str">
        <f t="shared" ref="H946:H952" si="380">CLEAN("LET CONSTRUCTION         ")</f>
        <v xml:space="preserve">LET CONSTRUCTION         </v>
      </c>
      <c r="I946" t="str">
        <f>CLEAN("CONSTRUCTION/BRIDGE REPLACEMENT    ")</f>
        <v xml:space="preserve">CONSTRUCTION/BRIDGE REPLACEMENT    </v>
      </c>
      <c r="J946" t="str">
        <f>CLEAN("LOC STR")</f>
        <v>LOC STR</v>
      </c>
      <c r="K946" t="str">
        <f>CLEAN("TREMPEALEAU                   ")</f>
        <v xml:space="preserve">TREMPEALEAU                   </v>
      </c>
      <c r="L946" t="str">
        <f>CLEAN("T ARCADIA, CYRIL SOBOTTA LANE      ")</f>
        <v xml:space="preserve">T ARCADIA, CYRIL SOBOTTA LANE      </v>
      </c>
      <c r="M946" t="str">
        <f>CLEAN("NEWCOMB VALLEY CREEK BR B-61-0251  ")</f>
        <v xml:space="preserve">NEWCOMB VALLEY CREEK BR B-61-0251  </v>
      </c>
      <c r="N946">
        <v>0</v>
      </c>
      <c r="O946" t="str">
        <f t="shared" si="377"/>
        <v xml:space="preserve">          </v>
      </c>
      <c r="P946" t="str">
        <f>CLEAN("LOCAL BRIDGES                                                                                       ")</f>
        <v xml:space="preserve">LOCAL BRIDGES                                                                                       </v>
      </c>
    </row>
    <row r="947" spans="1:16" x14ac:dyDescent="0.25">
      <c r="A947" t="str">
        <f t="shared" si="374"/>
        <v>10</v>
      </c>
      <c r="B947" t="str">
        <f t="shared" si="378"/>
        <v>25</v>
      </c>
      <c r="C947" s="1">
        <v>46126</v>
      </c>
      <c r="D947" t="str">
        <f>CLEAN("7276-00-76")</f>
        <v>7276-00-76</v>
      </c>
      <c r="E947" t="str">
        <f>CLEAN("205  ")</f>
        <v xml:space="preserve">205  </v>
      </c>
      <c r="F947" t="str">
        <f>CLEAN("$250,000 - $499,999      ")</f>
        <v xml:space="preserve">$250,000 - $499,999      </v>
      </c>
      <c r="G947" t="str">
        <f t="shared" si="379"/>
        <v>LET</v>
      </c>
      <c r="H947" t="str">
        <f t="shared" si="380"/>
        <v xml:space="preserve">LET CONSTRUCTION         </v>
      </c>
      <c r="I947" t="str">
        <f>CLEAN("CONSTRUCTION/BRRPL                 ")</f>
        <v xml:space="preserve">CONSTRUCTION/BRRPL                 </v>
      </c>
      <c r="J947" t="str">
        <f>CLEAN("LOC STR")</f>
        <v>LOC STR</v>
      </c>
      <c r="K947" t="str">
        <f>CLEAN("TREMPEALEAU                   ")</f>
        <v xml:space="preserve">TREMPEALEAU                   </v>
      </c>
      <c r="L947" t="str">
        <f>CLEAN("T ARCADIA, MIDDLE ROAD             ")</f>
        <v xml:space="preserve">T ARCADIA, MIDDLE ROAD             </v>
      </c>
      <c r="M947" t="str">
        <f>CLEAN("MYERS VALLEY CREEK BRIDGE B-61-0294")</f>
        <v>MYERS VALLEY CREEK BRIDGE B-61-0294</v>
      </c>
      <c r="N947">
        <v>0</v>
      </c>
      <c r="O947" t="str">
        <f t="shared" si="377"/>
        <v xml:space="preserve">          </v>
      </c>
      <c r="P947" t="str">
        <f>CLEAN("LOCAL BRIDGES                                                                                       ")</f>
        <v xml:space="preserve">LOCAL BRIDGES                                                                                       </v>
      </c>
    </row>
    <row r="948" spans="1:16" x14ac:dyDescent="0.25">
      <c r="A948" t="str">
        <f t="shared" si="374"/>
        <v>10</v>
      </c>
      <c r="B948" t="str">
        <f t="shared" si="378"/>
        <v>25</v>
      </c>
      <c r="C948" s="1">
        <v>45972</v>
      </c>
      <c r="D948" t="str">
        <f>CLEAN("7282-00-72")</f>
        <v>7282-00-72</v>
      </c>
      <c r="E948" t="str">
        <f>CLEAN("205  ")</f>
        <v xml:space="preserve">205  </v>
      </c>
      <c r="F948" t="str">
        <f>CLEAN("$500,000 - $749,999      ")</f>
        <v xml:space="preserve">$500,000 - $749,999      </v>
      </c>
      <c r="G948" t="str">
        <f t="shared" si="379"/>
        <v>LET</v>
      </c>
      <c r="H948" t="str">
        <f t="shared" si="380"/>
        <v xml:space="preserve">LET CONSTRUCTION         </v>
      </c>
      <c r="I948" t="str">
        <f>CLEAN("CONSTRUCTION/BRRPL                 ")</f>
        <v xml:space="preserve">CONSTRUCTION/BRRPL                 </v>
      </c>
      <c r="J948" t="str">
        <f>CLEAN("LOC STR")</f>
        <v>LOC STR</v>
      </c>
      <c r="K948" t="str">
        <f>CLEAN("TREMPEALEAU                   ")</f>
        <v xml:space="preserve">TREMPEALEAU                   </v>
      </c>
      <c r="L948" t="str">
        <f>CLEAN("T GALE, SMIKRUD ROAD               ")</f>
        <v xml:space="preserve">T GALE, SMIKRUD ROAD               </v>
      </c>
      <c r="M948" t="str">
        <f>CLEAN("GRANT CREEK BRIDGE B-61-0296       ")</f>
        <v xml:space="preserve">GRANT CREEK BRIDGE B-61-0296       </v>
      </c>
      <c r="N948">
        <v>2.7E-2</v>
      </c>
      <c r="O948" t="str">
        <f t="shared" si="377"/>
        <v xml:space="preserve">          </v>
      </c>
      <c r="P948" t="str">
        <f>CLEAN("LOCAL BRIDGES                                                                                       ")</f>
        <v xml:space="preserve">LOCAL BRIDGES                                                                                       </v>
      </c>
    </row>
    <row r="949" spans="1:16" x14ac:dyDescent="0.25">
      <c r="A949" t="str">
        <f t="shared" si="374"/>
        <v>10</v>
      </c>
      <c r="B949" t="str">
        <f t="shared" si="378"/>
        <v>25</v>
      </c>
      <c r="C949" s="1">
        <v>46063</v>
      </c>
      <c r="D949" t="str">
        <f>CLEAN("7287-00-72")</f>
        <v>7287-00-72</v>
      </c>
      <c r="E949" t="str">
        <f>CLEAN("206  ")</f>
        <v xml:space="preserve">206  </v>
      </c>
      <c r="F949" t="str">
        <f>CLEAN("$1,000,000 - $1,999,999  ")</f>
        <v xml:space="preserve">$1,000,000 - $1,999,999  </v>
      </c>
      <c r="G949" t="str">
        <f t="shared" si="379"/>
        <v>LET</v>
      </c>
      <c r="H949" t="str">
        <f t="shared" si="380"/>
        <v xml:space="preserve">LET CONSTRUCTION         </v>
      </c>
      <c r="I949" t="str">
        <f>CLEAN("CONSTRUCTION/RECONDITION           ")</f>
        <v xml:space="preserve">CONSTRUCTION/RECONDITION           </v>
      </c>
      <c r="J949" t="str">
        <f>CLEAN("LOC STR")</f>
        <v>LOC STR</v>
      </c>
      <c r="K949" t="str">
        <f>CLEAN("TREMPEALEAU                   ")</f>
        <v xml:space="preserve">TREMPEALEAU                   </v>
      </c>
      <c r="L949" t="str">
        <f>CLEAN("C OSSEO, WEST ST &amp; ELEVATOR ST     ")</f>
        <v xml:space="preserve">C OSSEO, WEST ST &amp; ELEVATOR ST     </v>
      </c>
      <c r="M949" t="str">
        <f>CLEAN("USH 10/WEST ST TO ELEVATOR/NORTH ST")</f>
        <v>USH 10/WEST ST TO ELEVATOR/NORTH ST</v>
      </c>
      <c r="N949">
        <v>0.31</v>
      </c>
      <c r="O949" t="str">
        <f t="shared" si="377"/>
        <v xml:space="preserve">          </v>
      </c>
      <c r="P949" t="str">
        <f>CLEAN("STP RURAL                                                                                           ")</f>
        <v xml:space="preserve">STP RURAL                                                                                           </v>
      </c>
    </row>
    <row r="950" spans="1:16" x14ac:dyDescent="0.25">
      <c r="A950" t="str">
        <f t="shared" si="374"/>
        <v>10</v>
      </c>
      <c r="B950" t="str">
        <f t="shared" si="378"/>
        <v>25</v>
      </c>
      <c r="C950" s="1">
        <v>46000</v>
      </c>
      <c r="D950" t="str">
        <f>CLEAN("7290-00-70")</f>
        <v>7290-00-70</v>
      </c>
      <c r="E950" t="str">
        <f>CLEAN("205  ")</f>
        <v xml:space="preserve">205  </v>
      </c>
      <c r="F950" t="str">
        <f>CLEAN("$1,000,000 - $1,999,999  ")</f>
        <v xml:space="preserve">$1,000,000 - $1,999,999  </v>
      </c>
      <c r="G950" t="str">
        <f t="shared" si="379"/>
        <v>LET</v>
      </c>
      <c r="H950" t="str">
        <f t="shared" si="380"/>
        <v xml:space="preserve">LET CONSTRUCTION         </v>
      </c>
      <c r="I950" t="str">
        <f>CLEAN("CONSTRUCTION/BRIDGE REPLACEMENT    ")</f>
        <v xml:space="preserve">CONSTRUCTION/BRIDGE REPLACEMENT    </v>
      </c>
      <c r="J950" t="str">
        <f>CLEAN("CTH P  ")</f>
        <v xml:space="preserve">CTH P  </v>
      </c>
      <c r="K950" t="str">
        <f>CLEAN("BUFFALO                       ")</f>
        <v xml:space="preserve">BUFFALO                       </v>
      </c>
      <c r="L950" t="str">
        <f>CLEAN("STH 95 - MARSHLAND                 ")</f>
        <v xml:space="preserve">STH 95 - MARSHLAND                 </v>
      </c>
      <c r="M950" t="str">
        <f>CLEAN("TREMPEALEAU RIVER BRIDGE B-06-0238 ")</f>
        <v xml:space="preserve">TREMPEALEAU RIVER BRIDGE B-06-0238 </v>
      </c>
      <c r="N950">
        <v>0.46</v>
      </c>
      <c r="O950" t="str">
        <f t="shared" si="377"/>
        <v xml:space="preserve">          </v>
      </c>
      <c r="P950" t="str">
        <f>CLEAN("LOCAL BRIDGES                                                                                       ")</f>
        <v xml:space="preserve">LOCAL BRIDGES                                                                                       </v>
      </c>
    </row>
    <row r="951" spans="1:16" x14ac:dyDescent="0.25">
      <c r="A951" t="str">
        <f t="shared" si="374"/>
        <v>10</v>
      </c>
      <c r="B951" t="str">
        <f t="shared" si="378"/>
        <v>25</v>
      </c>
      <c r="C951" s="1">
        <v>45944</v>
      </c>
      <c r="D951" t="str">
        <f>CLEAN("7375-00-71")</f>
        <v>7375-00-71</v>
      </c>
      <c r="E951" t="str">
        <f>CLEAN("205  ")</f>
        <v xml:space="preserve">205  </v>
      </c>
      <c r="F951" t="str">
        <f>CLEAN("$250,000 - $499,999      ")</f>
        <v xml:space="preserve">$250,000 - $499,999      </v>
      </c>
      <c r="G951" t="str">
        <f t="shared" si="379"/>
        <v>LET</v>
      </c>
      <c r="H951" t="str">
        <f t="shared" si="380"/>
        <v xml:space="preserve">LET CONSTRUCTION         </v>
      </c>
      <c r="I951" t="str">
        <f>CLEAN("CONSTRUCTION/BRRPL                 ")</f>
        <v xml:space="preserve">CONSTRUCTION/BRRPL                 </v>
      </c>
      <c r="J951" t="str">
        <f>CLEAN("CTH K  ")</f>
        <v xml:space="preserve">CTH K  </v>
      </c>
      <c r="K951" t="str">
        <f>CLEAN("EAU CLAIRE                    ")</f>
        <v xml:space="preserve">EAU CLAIRE                    </v>
      </c>
      <c r="L951" t="str">
        <f>CLEAN("FOSTER - FALL CREEK                ")</f>
        <v xml:space="preserve">FOSTER - FALL CREEK                </v>
      </c>
      <c r="M951" t="str">
        <f>CLEAN("BRANCH OTTER CREEK BRIDGE B-18-0258")</f>
        <v>BRANCH OTTER CREEK BRIDGE B-18-0258</v>
      </c>
      <c r="N951">
        <v>3.4000000000000002E-2</v>
      </c>
      <c r="O951" t="str">
        <f t="shared" si="377"/>
        <v xml:space="preserve">          </v>
      </c>
      <c r="P951" t="str">
        <f>CLEAN("LOCAL BRIDGES                                                                                       ")</f>
        <v xml:space="preserve">LOCAL BRIDGES                                                                                       </v>
      </c>
    </row>
    <row r="952" spans="1:16" x14ac:dyDescent="0.25">
      <c r="A952" t="str">
        <f t="shared" si="374"/>
        <v>10</v>
      </c>
      <c r="B952" t="str">
        <f>CLEAN("21")</f>
        <v>21</v>
      </c>
      <c r="C952" s="1">
        <v>46000</v>
      </c>
      <c r="D952" t="str">
        <f>CLEAN("7382-00-71")</f>
        <v>7382-00-71</v>
      </c>
      <c r="E952" t="str">
        <f>CLEAN("205  ")</f>
        <v xml:space="preserve">205  </v>
      </c>
      <c r="F952" t="str">
        <f>CLEAN("$1,000,000 - $1,999,999  ")</f>
        <v xml:space="preserve">$1,000,000 - $1,999,999  </v>
      </c>
      <c r="G952" t="str">
        <f t="shared" si="379"/>
        <v>LET</v>
      </c>
      <c r="H952" t="str">
        <f t="shared" si="380"/>
        <v xml:space="preserve">LET CONSTRUCTION         </v>
      </c>
      <c r="I952" t="str">
        <f>CLEAN("CONST/BRIDGE REPLACEMENT           ")</f>
        <v xml:space="preserve">CONST/BRIDGE REPLACEMENT           </v>
      </c>
      <c r="J952" t="str">
        <f>CLEAN("CTH M  ")</f>
        <v xml:space="preserve">CTH M  </v>
      </c>
      <c r="K952" t="str">
        <f>CLEAN("JUNEAU                        ")</f>
        <v xml:space="preserve">JUNEAU                        </v>
      </c>
      <c r="L952" t="str">
        <f>CLEAN("C NEW LISBON - IH 90               ")</f>
        <v xml:space="preserve">C NEW LISBON - IH 90               </v>
      </c>
      <c r="M952" t="str">
        <f>CLEAN("LTL LEMONWEIR RVR BRIDGE B-29-0168 ")</f>
        <v xml:space="preserve">LTL LEMONWEIR RVR BRIDGE B-29-0168 </v>
      </c>
      <c r="N952">
        <v>5.5E-2</v>
      </c>
      <c r="O952" t="str">
        <f t="shared" si="377"/>
        <v xml:space="preserve">          </v>
      </c>
      <c r="P952" t="str">
        <f>CLEAN("LOCAL BRIDGES                                                                                       ")</f>
        <v xml:space="preserve">LOCAL BRIDGES                                                                                       </v>
      </c>
    </row>
    <row r="953" spans="1:16" x14ac:dyDescent="0.25">
      <c r="A953" t="str">
        <f t="shared" si="374"/>
        <v>10</v>
      </c>
      <c r="B953" t="str">
        <f>CLEAN("25")</f>
        <v>25</v>
      </c>
      <c r="C953" s="1">
        <v>45986</v>
      </c>
      <c r="D953" t="str">
        <f>CLEAN("7505-00-23")</f>
        <v>7505-00-23</v>
      </c>
      <c r="E953" t="str">
        <f>CLEAN("303  ")</f>
        <v xml:space="preserve">303  </v>
      </c>
      <c r="F953" t="str">
        <f>CLEAN("$0 - $99,999             ")</f>
        <v xml:space="preserve">$0 - $99,999             </v>
      </c>
      <c r="G953" t="str">
        <f>CLEAN("R/E")</f>
        <v>R/E</v>
      </c>
      <c r="H953" t="str">
        <f>CLEAN("NONLET CONSTR/REAL ESTATE")</f>
        <v>NONLET CONSTR/REAL ESTATE</v>
      </c>
      <c r="I953" t="str">
        <f>CLEAN("REAL ESTATE ACQUISITION            ")</f>
        <v xml:space="preserve">REAL ESTATE ACQUISITION            </v>
      </c>
      <c r="J953" t="str">
        <f>CLEAN("STH 121")</f>
        <v>STH 121</v>
      </c>
      <c r="K953" t="str">
        <f>CLEAN("JACKSON                       ")</f>
        <v xml:space="preserve">JACKSON                       </v>
      </c>
      <c r="L953" t="str">
        <f>CLEAN("INDEPENDENCE - NORTHFIELD          ")</f>
        <v xml:space="preserve">INDEPENDENCE - NORTHFIELD          </v>
      </c>
      <c r="M953" t="str">
        <f>CLEAN("USH 53 N TO CTH FF SOUTH           ")</f>
        <v xml:space="preserve">USH 53 N TO CTH FF SOUTH           </v>
      </c>
      <c r="N953">
        <v>7.6130000000000004</v>
      </c>
      <c r="O953" t="str">
        <f t="shared" si="377"/>
        <v xml:space="preserve">          </v>
      </c>
      <c r="P953" t="str">
        <f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954" spans="1:16" x14ac:dyDescent="0.25">
      <c r="A954" t="str">
        <f t="shared" si="374"/>
        <v>10</v>
      </c>
      <c r="B954" t="str">
        <f>CLEAN("25")</f>
        <v>25</v>
      </c>
      <c r="C954" s="1">
        <v>46198</v>
      </c>
      <c r="D954" t="str">
        <f>CLEAN("7520-01-50")</f>
        <v>7520-01-50</v>
      </c>
      <c r="E954" t="str">
        <f>CLEAN("207  ")</f>
        <v xml:space="preserve">207  </v>
      </c>
      <c r="F954" t="str">
        <f>CLEAN("$100,000-$249,999        ")</f>
        <v xml:space="preserve">$100,000-$249,999        </v>
      </c>
      <c r="G954" t="str">
        <f>CLEAN("R/R")</f>
        <v>R/R</v>
      </c>
      <c r="H954" t="str">
        <f>CLEAN("NONLET CONSTR/REAL ESTATE")</f>
        <v>NONLET CONSTR/REAL ESTATE</v>
      </c>
      <c r="I954" t="str">
        <f>CLEAN("RR OPS/RAIL-HIGHWAY CROSSING REPAIR")</f>
        <v>RR OPS/RAIL-HIGHWAY CROSSING REPAIR</v>
      </c>
      <c r="J954" t="str">
        <f>CLEAN("STH 095")</f>
        <v>STH 095</v>
      </c>
      <c r="K954" t="str">
        <f>CLEAN("JACKSON                       ")</f>
        <v xml:space="preserve">JACKSON                       </v>
      </c>
      <c r="L954" t="str">
        <f>CLEAN("MERRILLAN - NEILLSVILLE            ")</f>
        <v xml:space="preserve">MERRILLAN - NEILLSVILLE            </v>
      </c>
      <c r="M954" t="str">
        <f>CLEAN("UNION PACIFIC RR XING 184025D      ")</f>
        <v xml:space="preserve">UNION PACIFIC RR XING 184025D      </v>
      </c>
      <c r="N954">
        <v>0</v>
      </c>
      <c r="O954" t="str">
        <f t="shared" si="377"/>
        <v xml:space="preserve">          </v>
      </c>
      <c r="P954" t="str">
        <f>CLEAN("RAILROAD CROSSING REPAIR                                                                            ")</f>
        <v xml:space="preserve">RAILROAD CROSSING REPAIR                                                                            </v>
      </c>
    </row>
    <row r="955" spans="1:16" x14ac:dyDescent="0.25">
      <c r="A955" t="str">
        <f t="shared" si="374"/>
        <v>10</v>
      </c>
      <c r="B955" t="str">
        <f>CLEAN("25")</f>
        <v>25</v>
      </c>
      <c r="C955" s="1">
        <v>46000</v>
      </c>
      <c r="D955" t="str">
        <f>CLEAN("7550-00-76")</f>
        <v>7550-00-76</v>
      </c>
      <c r="E955" t="str">
        <f>CLEAN("303  ")</f>
        <v xml:space="preserve">303  </v>
      </c>
      <c r="F955" t="str">
        <f>CLEAN("$250,000 - $499,999      ")</f>
        <v xml:space="preserve">$250,000 - $499,999      </v>
      </c>
      <c r="G955" t="str">
        <f>CLEAN("LET")</f>
        <v>LET</v>
      </c>
      <c r="H955" t="str">
        <f>CLEAN("LET CONSTRUCTION         ")</f>
        <v xml:space="preserve">LET CONSTRUCTION         </v>
      </c>
      <c r="I955" t="str">
        <f>CLEAN("CONSTRUCTION/RESURFACE             ")</f>
        <v xml:space="preserve">CONSTRUCTION/RESURFACE             </v>
      </c>
      <c r="J955" t="str">
        <f>CLEAN("STH 054")</f>
        <v>STH 054</v>
      </c>
      <c r="K955" t="str">
        <f>CLEAN("BUFFALO                       ")</f>
        <v xml:space="preserve">BUFFALO                       </v>
      </c>
      <c r="L955" t="str">
        <f>CLEAN("WINONA - GALESVILLE                ")</f>
        <v xml:space="preserve">WINONA - GALESVILLE                </v>
      </c>
      <c r="M955" t="str">
        <f>CLEAN("MN/WI STATE LINE TO STH 35         ")</f>
        <v xml:space="preserve">MN/WI STATE LINE TO STH 35         </v>
      </c>
      <c r="N955">
        <v>0.64700000000000002</v>
      </c>
      <c r="O955" t="str">
        <f>CLEAN("7160-04-76")</f>
        <v>7160-04-76</v>
      </c>
      <c r="P955" t="str">
        <f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956" spans="1:16" x14ac:dyDescent="0.25">
      <c r="A956" t="str">
        <f t="shared" si="374"/>
        <v>10</v>
      </c>
      <c r="B956" t="str">
        <f>CLEAN("25")</f>
        <v>25</v>
      </c>
      <c r="C956" s="1">
        <v>46198</v>
      </c>
      <c r="D956" t="str">
        <f>CLEAN("7560-01-50")</f>
        <v>7560-01-50</v>
      </c>
      <c r="E956" t="str">
        <f>CLEAN("207  ")</f>
        <v xml:space="preserve">207  </v>
      </c>
      <c r="F956" t="str">
        <f>CLEAN("$100,000-$249,999        ")</f>
        <v xml:space="preserve">$100,000-$249,999        </v>
      </c>
      <c r="G956" t="str">
        <f>CLEAN("R/R")</f>
        <v>R/R</v>
      </c>
      <c r="H956" t="str">
        <f>CLEAN("NONLET CONSTR/REAL ESTATE")</f>
        <v>NONLET CONSTR/REAL ESTATE</v>
      </c>
      <c r="I956" t="str">
        <f>CLEAN("RR OPS/RAIL-HIGHWAY CROSSING REPAIR")</f>
        <v>RR OPS/RAIL-HIGHWAY CROSSING REPAIR</v>
      </c>
      <c r="J956" t="str">
        <f>CLEAN("STH 095")</f>
        <v>STH 095</v>
      </c>
      <c r="K956" t="str">
        <f>CLEAN("TREMPEALEAU                   ")</f>
        <v xml:space="preserve">TREMPEALEAU                   </v>
      </c>
      <c r="L956" t="str">
        <f>CLEAN("BLAIR - MERRILLAN                  ")</f>
        <v xml:space="preserve">BLAIR - MERRILLAN                  </v>
      </c>
      <c r="M956" t="str">
        <f>CLEAN("WI CENTRAL LTD RR XING 281772J     ")</f>
        <v xml:space="preserve">WI CENTRAL LTD RR XING 281772J     </v>
      </c>
      <c r="N956">
        <v>0</v>
      </c>
      <c r="O956" t="str">
        <f>CLEAN("          ")</f>
        <v xml:space="preserve">          </v>
      </c>
      <c r="P956" t="str">
        <f>CLEAN("RAILROAD CROSSING REPAIR                                                                            ")</f>
        <v xml:space="preserve">RAILROAD CROSSING REPAIR                                                                            </v>
      </c>
    </row>
    <row r="957" spans="1:16" x14ac:dyDescent="0.25">
      <c r="A957" t="str">
        <f t="shared" si="374"/>
        <v>10</v>
      </c>
      <c r="B957" t="str">
        <f>CLEAN("21")</f>
        <v>21</v>
      </c>
      <c r="C957" s="1">
        <v>45894</v>
      </c>
      <c r="D957" t="str">
        <f>CLEAN("7570-05-26")</f>
        <v>7570-05-26</v>
      </c>
      <c r="E957" t="str">
        <f>CLEAN("303  ")</f>
        <v xml:space="preserve">303  </v>
      </c>
      <c r="F957" t="str">
        <f>CLEAN("$0 - $99,999             ")</f>
        <v xml:space="preserve">$0 - $99,999             </v>
      </c>
      <c r="G957" t="str">
        <f>CLEAN("R/E")</f>
        <v>R/E</v>
      </c>
      <c r="H957" t="str">
        <f>CLEAN("NONLET CONSTR/REAL ESTATE")</f>
        <v>NONLET CONSTR/REAL ESTATE</v>
      </c>
      <c r="I957" t="str">
        <f>CLEAN("RE OPS/ 7570-05-76/ PVRPLA         ")</f>
        <v xml:space="preserve">RE OPS/ 7570-05-76/ PVRPLA         </v>
      </c>
      <c r="J957" t="str">
        <f>CLEAN("STH 016")</f>
        <v>STH 016</v>
      </c>
      <c r="K957" t="str">
        <f>CLEAN("LA CROSSE                     ")</f>
        <v xml:space="preserve">LA CROSSE                     </v>
      </c>
      <c r="L957" t="str">
        <f>CLEAN("LA CROSSE - SPARTA                 ")</f>
        <v xml:space="preserve">LA CROSSE - SPARTA                 </v>
      </c>
      <c r="M957" t="str">
        <f>CLEAN("VETERANS PARK TO CTH M             ")</f>
        <v xml:space="preserve">VETERANS PARK TO CTH M             </v>
      </c>
      <c r="N957">
        <v>0.69399999999999995</v>
      </c>
      <c r="O957" t="str">
        <f>CLEAN("          ")</f>
        <v xml:space="preserve">          </v>
      </c>
      <c r="P957" t="str">
        <f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958" spans="1:16" x14ac:dyDescent="0.25">
      <c r="A958" t="str">
        <f t="shared" si="374"/>
        <v>10</v>
      </c>
      <c r="B958" t="str">
        <f>CLEAN("21")</f>
        <v>21</v>
      </c>
      <c r="C958" s="1">
        <v>46167</v>
      </c>
      <c r="D958" t="str">
        <f>CLEAN("7575-09-21")</f>
        <v>7575-09-21</v>
      </c>
      <c r="E958" t="str">
        <f>CLEAN("302  ")</f>
        <v xml:space="preserve">302  </v>
      </c>
      <c r="F958" t="str">
        <f>CLEAN("$0 - $99,999             ")</f>
        <v xml:space="preserve">$0 - $99,999             </v>
      </c>
      <c r="G958" t="str">
        <f>CLEAN("R/E")</f>
        <v>R/E</v>
      </c>
      <c r="H958" t="str">
        <f>CLEAN("NONLET CONSTR/REAL ESTATE")</f>
        <v>NONLET CONSTR/REAL ESTATE</v>
      </c>
      <c r="I958" t="str">
        <f>CLEAN("RE OPS / 7575-09-71 / PVRPLA       ")</f>
        <v xml:space="preserve">RE OPS / 7575-09-71 / PVRPLA       </v>
      </c>
      <c r="J958" t="str">
        <f>CLEAN("STH 016")</f>
        <v>STH 016</v>
      </c>
      <c r="K958" t="str">
        <f>CLEAN("LA CROSSE                     ")</f>
        <v xml:space="preserve">LA CROSSE                     </v>
      </c>
      <c r="L958" t="str">
        <f>CLEAN("LA CROSSE - SPARTA                 ")</f>
        <v xml:space="preserve">LA CROSSE - SPARTA                 </v>
      </c>
      <c r="M958" t="str">
        <f>CLEAN("USH 53 TO STH 35                   ")</f>
        <v xml:space="preserve">USH 53 TO STH 35                   </v>
      </c>
      <c r="N958">
        <v>0</v>
      </c>
      <c r="O958" t="str">
        <f>CLEAN("          ")</f>
        <v xml:space="preserve">          </v>
      </c>
      <c r="P958" t="str">
        <f>CLEAN("MAJORS                                                                                              ")</f>
        <v xml:space="preserve">MAJORS                                                                                              </v>
      </c>
    </row>
    <row r="959" spans="1:16" x14ac:dyDescent="0.25">
      <c r="A959" t="str">
        <f t="shared" si="374"/>
        <v>10</v>
      </c>
      <c r="B959" t="str">
        <f>CLEAN("25")</f>
        <v>25</v>
      </c>
      <c r="C959" s="1">
        <v>46000</v>
      </c>
      <c r="D959" t="str">
        <f>CLEAN("7600-00-72")</f>
        <v>7600-00-72</v>
      </c>
      <c r="E959" t="str">
        <f>CLEAN("303  ")</f>
        <v xml:space="preserve">303  </v>
      </c>
      <c r="F959" t="str">
        <f>CLEAN("$1,000,000 - $1,999,999  ")</f>
        <v xml:space="preserve">$1,000,000 - $1,999,999  </v>
      </c>
      <c r="G959" t="str">
        <f>CLEAN("LET")</f>
        <v>LET</v>
      </c>
      <c r="H959" t="str">
        <f>CLEAN("LET CONSTRUCTION         ")</f>
        <v xml:space="preserve">LET CONSTRUCTION         </v>
      </c>
      <c r="I959" t="str">
        <f>CLEAN("CONSTRUCTION/RESURFACE             ")</f>
        <v xml:space="preserve">CONSTRUCTION/RESURFACE             </v>
      </c>
      <c r="J959" t="str">
        <f>CLEAN("USH 012")</f>
        <v>USH 012</v>
      </c>
      <c r="K959" t="str">
        <f>CLEAN("DUNN                          ")</f>
        <v xml:space="preserve">DUNN                          </v>
      </c>
      <c r="L959" t="str">
        <f>CLEAN("MENOMONIE - EAU CLAIRE             ")</f>
        <v xml:space="preserve">MENOMONIE - EAU CLAIRE             </v>
      </c>
      <c r="M959" t="str">
        <f>CLEAN("STH 29 TO PRINCETON DRIVE          ")</f>
        <v xml:space="preserve">STH 29 TO PRINCETON DRIVE          </v>
      </c>
      <c r="N959">
        <v>1.32</v>
      </c>
      <c r="O959" t="str">
        <f>CLEAN("8620-00-75")</f>
        <v>8620-00-75</v>
      </c>
      <c r="P959" t="str">
        <f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960" spans="1:16" x14ac:dyDescent="0.25">
      <c r="A960" t="str">
        <f t="shared" si="374"/>
        <v>10</v>
      </c>
      <c r="B960" t="str">
        <f>CLEAN("21")</f>
        <v>21</v>
      </c>
      <c r="C960" s="1">
        <v>45894</v>
      </c>
      <c r="D960" t="str">
        <f>CLEAN("7605-06-51")</f>
        <v>7605-06-51</v>
      </c>
      <c r="E960" t="str">
        <f>CLEAN("303  ")</f>
        <v xml:space="preserve">303  </v>
      </c>
      <c r="F960" t="str">
        <f>CLEAN("$500,000 - $749,999      ")</f>
        <v xml:space="preserve">$500,000 - $749,999      </v>
      </c>
      <c r="G960" t="str">
        <f>CLEAN("R/R")</f>
        <v>R/R</v>
      </c>
      <c r="H960" t="str">
        <f>CLEAN("NONLET CONSTR/REAL ESTATE")</f>
        <v>NONLET CONSTR/REAL ESTATE</v>
      </c>
      <c r="I960" t="str">
        <f>CLEAN("RR SIGNALS /7605-06-62/ PSRS       ")</f>
        <v xml:space="preserve">RR SIGNALS /7605-06-62/ PSRS       </v>
      </c>
      <c r="J960" t="str">
        <f>CLEAN("STH 021")</f>
        <v>STH 021</v>
      </c>
      <c r="K960" t="str">
        <f>CLEAN("MONROE                        ")</f>
        <v xml:space="preserve">MONROE                        </v>
      </c>
      <c r="L960" t="str">
        <f>CLEAN("SPARTA - TOMAH                     ")</f>
        <v xml:space="preserve">SPARTA - TOMAH                     </v>
      </c>
      <c r="M960" t="str">
        <f>CLEAN("CP/SOO, SIGNALS, 187 045A, MP 1.10 ")</f>
        <v xml:space="preserve">CP/SOO, SIGNALS, 187 045A, MP 1.10 </v>
      </c>
      <c r="N960">
        <v>15.7</v>
      </c>
      <c r="O960" t="str">
        <f t="shared" ref="O960:O978" si="381">CLEAN("          ")</f>
        <v xml:space="preserve">          </v>
      </c>
      <c r="P960" t="str">
        <f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961" spans="1:16" x14ac:dyDescent="0.25">
      <c r="A961" t="str">
        <f t="shared" si="374"/>
        <v>10</v>
      </c>
      <c r="B961" t="str">
        <f>CLEAN("25")</f>
        <v>25</v>
      </c>
      <c r="C961" s="1">
        <v>46035</v>
      </c>
      <c r="D961" t="str">
        <f>CLEAN("7610-00-77")</f>
        <v>7610-00-77</v>
      </c>
      <c r="E961" t="str">
        <f>CLEAN("303  ")</f>
        <v xml:space="preserve">303  </v>
      </c>
      <c r="F961" t="str">
        <f>CLEAN("$250,000 - $499,999      ")</f>
        <v xml:space="preserve">$250,000 - $499,999      </v>
      </c>
      <c r="G961" t="str">
        <f>CLEAN("LET")</f>
        <v>LET</v>
      </c>
      <c r="H961" t="str">
        <f>CLEAN("LET CONSTRUCTION         ")</f>
        <v xml:space="preserve">LET CONSTRUCTION         </v>
      </c>
      <c r="I961" t="str">
        <f>CLEAN("CONSTRUCTION/BRIDGE REHABILITATION ")</f>
        <v xml:space="preserve">CONSTRUCTION/BRIDGE REHABILITATION </v>
      </c>
      <c r="J961" t="str">
        <f>CLEAN("STH 029")</f>
        <v>STH 029</v>
      </c>
      <c r="K961" t="str">
        <f>CLEAN("DUNN                          ")</f>
        <v xml:space="preserve">DUNN                          </v>
      </c>
      <c r="L961" t="str">
        <f>CLEAN("SPRING VALLEY - MENOMONIE          ")</f>
        <v xml:space="preserve">SPRING VALLEY - MENOMONIE          </v>
      </c>
      <c r="M961" t="str">
        <f>CLEAN("RED CEDAR RIVER BRIDGE B-17-0005   ")</f>
        <v xml:space="preserve">RED CEDAR RIVER BRIDGE B-17-0005   </v>
      </c>
      <c r="N961">
        <v>6.6000000000000003E-2</v>
      </c>
      <c r="O961" t="str">
        <f t="shared" si="381"/>
        <v xml:space="preserve">          </v>
      </c>
      <c r="P961" t="str">
        <f>CLEAN("SHR BRIDGES                                                                                         ")</f>
        <v xml:space="preserve">SHR BRIDGES                                                                                         </v>
      </c>
    </row>
    <row r="962" spans="1:16" x14ac:dyDescent="0.25">
      <c r="A962" t="str">
        <f t="shared" si="374"/>
        <v>10</v>
      </c>
      <c r="B962" t="str">
        <f>CLEAN("21")</f>
        <v>21</v>
      </c>
      <c r="C962" s="1">
        <v>46078</v>
      </c>
      <c r="D962" t="str">
        <f>CLEAN("7660-00-28")</f>
        <v>7660-00-28</v>
      </c>
      <c r="E962" t="str">
        <f>CLEAN("303  ")</f>
        <v xml:space="preserve">303  </v>
      </c>
      <c r="F962" t="str">
        <f>CLEAN("$0 - $99,999             ")</f>
        <v xml:space="preserve">$0 - $99,999             </v>
      </c>
      <c r="G962" t="str">
        <f>CLEAN("R/E")</f>
        <v>R/E</v>
      </c>
      <c r="H962" t="str">
        <f>CLEAN("NONLET CONSTR/REAL ESTATE")</f>
        <v>NONLET CONSTR/REAL ESTATE</v>
      </c>
      <c r="I962" t="str">
        <f>CLEAN("RE / 7660-00-78 / PVRPLA           ")</f>
        <v xml:space="preserve">RE / 7660-00-78 / PVRPLA           </v>
      </c>
      <c r="J962" t="str">
        <f>CLEAN("STH 080")</f>
        <v>STH 080</v>
      </c>
      <c r="K962" t="str">
        <f>CLEAN("JUNEAU                        ")</f>
        <v xml:space="preserve">JUNEAU                        </v>
      </c>
      <c r="L962" t="str">
        <f>CLEAN("NEW LISBON - NECEDAH               ")</f>
        <v xml:space="preserve">NEW LISBON - NECEDAH               </v>
      </c>
      <c r="M962" t="str">
        <f>CLEAN("USH 12 TO LEMONWEIR RIVER          ")</f>
        <v xml:space="preserve">USH 12 TO LEMONWEIR RIVER          </v>
      </c>
      <c r="N962">
        <v>0.22</v>
      </c>
      <c r="O962" t="str">
        <f t="shared" si="381"/>
        <v xml:space="preserve">          </v>
      </c>
      <c r="P962" t="str">
        <f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963" spans="1:16" x14ac:dyDescent="0.25">
      <c r="A963" t="str">
        <f t="shared" si="374"/>
        <v>10</v>
      </c>
      <c r="B963" t="str">
        <f t="shared" ref="B963:B978" si="382">CLEAN("25")</f>
        <v>25</v>
      </c>
      <c r="C963" s="1">
        <v>45955</v>
      </c>
      <c r="D963" t="str">
        <f>CLEAN("7720-00-50")</f>
        <v>7720-00-50</v>
      </c>
      <c r="E963" t="str">
        <f>CLEAN("303  ")</f>
        <v xml:space="preserve">303  </v>
      </c>
      <c r="F963" t="str">
        <f>CLEAN("$250,000 - $499,999      ")</f>
        <v xml:space="preserve">$250,000 - $499,999      </v>
      </c>
      <c r="G963" t="str">
        <f>CLEAN("R/R")</f>
        <v>R/R</v>
      </c>
      <c r="H963" t="str">
        <f>CLEAN("NONLET CONSTR/REAL ESTATE")</f>
        <v>NONLET CONSTR/REAL ESTATE</v>
      </c>
      <c r="I963" t="str">
        <f>CLEAN("RR OPS/SIGNALS                     ")</f>
        <v xml:space="preserve">RR OPS/SIGNALS                     </v>
      </c>
      <c r="J963" t="str">
        <f>CLEAN("STH 095")</f>
        <v>STH 095</v>
      </c>
      <c r="K963" t="str">
        <f>CLEAN("TREMPEALEAU                   ")</f>
        <v xml:space="preserve">TREMPEALEAU                   </v>
      </c>
      <c r="L963" t="str">
        <f>CLEAN("C ARCADIA, MAIN STREET             ")</f>
        <v xml:space="preserve">C ARCADIA, MAIN STREET             </v>
      </c>
      <c r="M963" t="str">
        <f>CLEAN("WCL RR XING 281828B                ")</f>
        <v xml:space="preserve">WCL RR XING 281828B                </v>
      </c>
      <c r="N963">
        <v>0</v>
      </c>
      <c r="O963" t="str">
        <f t="shared" si="381"/>
        <v xml:space="preserve">          </v>
      </c>
      <c r="P963" t="str">
        <f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964" spans="1:16" x14ac:dyDescent="0.25">
      <c r="A964" t="str">
        <f t="shared" si="374"/>
        <v>10</v>
      </c>
      <c r="B964" t="str">
        <f t="shared" si="382"/>
        <v>25</v>
      </c>
      <c r="C964" s="1">
        <v>45944</v>
      </c>
      <c r="D964" t="str">
        <f>CLEAN("7820-00-70")</f>
        <v>7820-00-70</v>
      </c>
      <c r="E964" t="str">
        <f>CLEAN("205  ")</f>
        <v xml:space="preserve">205  </v>
      </c>
      <c r="F964" t="str">
        <f>CLEAN("$250,000 - $499,999      ")</f>
        <v xml:space="preserve">$250,000 - $499,999      </v>
      </c>
      <c r="G964" t="str">
        <f>CLEAN("LET")</f>
        <v>LET</v>
      </c>
      <c r="H964" t="str">
        <f>CLEAN("LET CONSTRUCTION         ")</f>
        <v xml:space="preserve">LET CONSTRUCTION         </v>
      </c>
      <c r="I964" t="str">
        <f>CLEAN("CONSTRUCTION/BRIDGE REPLACEMENT    ")</f>
        <v xml:space="preserve">CONSTRUCTION/BRIDGE REPLACEMENT    </v>
      </c>
      <c r="J964" t="str">
        <f>CLEAN("LOC STR")</f>
        <v>LOC STR</v>
      </c>
      <c r="K964" t="str">
        <f>CLEAN("EAU CLAIRE                    ")</f>
        <v xml:space="preserve">EAU CLAIRE                    </v>
      </c>
      <c r="L964" t="str">
        <f>CLEAN("T WILSON, GRAVEL PIT ROAD          ")</f>
        <v xml:space="preserve">T WILSON, GRAVEL PIT ROAD          </v>
      </c>
      <c r="M964" t="str">
        <f>CLEAN("HAY CREEK BRIDGE B-18-0247         ")</f>
        <v xml:space="preserve">HAY CREEK BRIDGE B-18-0247         </v>
      </c>
      <c r="N964">
        <v>2.8000000000000001E-2</v>
      </c>
      <c r="O964" t="str">
        <f t="shared" si="381"/>
        <v xml:space="preserve">          </v>
      </c>
      <c r="P964" t="str">
        <f>CLEAN("LOCAL BRIDGES                                                                                       ")</f>
        <v xml:space="preserve">LOCAL BRIDGES                                                                                       </v>
      </c>
    </row>
    <row r="965" spans="1:16" x14ac:dyDescent="0.25">
      <c r="A965" t="str">
        <f t="shared" si="374"/>
        <v>10</v>
      </c>
      <c r="B965" t="str">
        <f t="shared" si="382"/>
        <v>25</v>
      </c>
      <c r="C965" s="1">
        <v>46016</v>
      </c>
      <c r="D965" t="str">
        <f>CLEAN("7825-04-22")</f>
        <v>7825-04-22</v>
      </c>
      <c r="E965" t="str">
        <f>CLEAN("206  ")</f>
        <v xml:space="preserve">206  </v>
      </c>
      <c r="F965" t="str">
        <f>CLEAN("$1,000,000 - $1,999,999  ")</f>
        <v xml:space="preserve">$1,000,000 - $1,999,999  </v>
      </c>
      <c r="G965" t="str">
        <f>CLEAN("R/E")</f>
        <v>R/E</v>
      </c>
      <c r="H965" t="str">
        <f>CLEAN("NONLET CONSTR/REAL ESTATE")</f>
        <v>NONLET CONSTR/REAL ESTATE</v>
      </c>
      <c r="I965" t="str">
        <f>CLEAN("REAL ESTATE ACQUISITION            ")</f>
        <v xml:space="preserve">REAL ESTATE ACQUISITION            </v>
      </c>
      <c r="J965" t="str">
        <f>CLEAN("CTH T  ")</f>
        <v xml:space="preserve">CTH T  </v>
      </c>
      <c r="K965" t="str">
        <f>CLEAN("CHIPPEWA                      ")</f>
        <v xml:space="preserve">CHIPPEWA                      </v>
      </c>
      <c r="L965" t="str">
        <f>CLEAN("STH 312 - STH 29 (PHASE I)         ")</f>
        <v xml:space="preserve">STH 312 - STH 29 (PHASE I)         </v>
      </c>
      <c r="M965" t="str">
        <f>CLEAN("17TH AVENUE TO 33RD AVENUE         ")</f>
        <v xml:space="preserve">17TH AVENUE TO 33RD AVENUE         </v>
      </c>
      <c r="N965">
        <v>1.6060000000000001</v>
      </c>
      <c r="O965" t="str">
        <f t="shared" si="381"/>
        <v xml:space="preserve">          </v>
      </c>
      <c r="P965" t="str">
        <f>CLEAN("STP URBAN 50,000 - 200,000                                                                          ")</f>
        <v xml:space="preserve">STP URBAN 50,000 - 200,000                                                                          </v>
      </c>
    </row>
    <row r="966" spans="1:16" x14ac:dyDescent="0.25">
      <c r="A966" t="str">
        <f t="shared" si="374"/>
        <v>10</v>
      </c>
      <c r="B966" t="str">
        <f t="shared" si="382"/>
        <v>25</v>
      </c>
      <c r="C966" s="1">
        <v>46035</v>
      </c>
      <c r="D966" t="str">
        <f>CLEAN("7830-00-72")</f>
        <v>7830-00-72</v>
      </c>
      <c r="E966" t="str">
        <f t="shared" ref="E966:E975" si="383">CLEAN("205  ")</f>
        <v xml:space="preserve">205  </v>
      </c>
      <c r="F966" t="str">
        <f>CLEAN("$500,000 - $749,999      ")</f>
        <v xml:space="preserve">$500,000 - $749,999      </v>
      </c>
      <c r="G966" t="str">
        <f t="shared" ref="G966:G975" si="384">CLEAN("LET")</f>
        <v>LET</v>
      </c>
      <c r="H966" t="str">
        <f t="shared" ref="H966:H975" si="385">CLEAN("LET CONSTRUCTION         ")</f>
        <v xml:space="preserve">LET CONSTRUCTION         </v>
      </c>
      <c r="I966" t="str">
        <f>CLEAN("CONSTRUCTION/BRRPL                 ")</f>
        <v xml:space="preserve">CONSTRUCTION/BRRPL                 </v>
      </c>
      <c r="J966" t="str">
        <f>CLEAN("CTH VV ")</f>
        <v xml:space="preserve">CTH VV </v>
      </c>
      <c r="K966" t="str">
        <f>CLEAN("EAU CLAIRE                    ")</f>
        <v xml:space="preserve">EAU CLAIRE                    </v>
      </c>
      <c r="L966" t="str">
        <f>CLEAN("FOSTER - AUGUSTA                   ")</f>
        <v xml:space="preserve">FOSTER - AUGUSTA                   </v>
      </c>
      <c r="M966" t="str">
        <f>CLEAN("BEARS GRASS CREEK BRIDGE B-18-0256 ")</f>
        <v xml:space="preserve">BEARS GRASS CREEK BRIDGE B-18-0256 </v>
      </c>
      <c r="N966">
        <v>0</v>
      </c>
      <c r="O966" t="str">
        <f t="shared" si="381"/>
        <v xml:space="preserve">          </v>
      </c>
      <c r="P966" t="str">
        <f t="shared" ref="P966:P975" si="386">CLEAN("LOCAL BRIDGES                                                                                       ")</f>
        <v xml:space="preserve">LOCAL BRIDGES                                                                                       </v>
      </c>
    </row>
    <row r="967" spans="1:16" x14ac:dyDescent="0.25">
      <c r="A967" t="str">
        <f t="shared" si="374"/>
        <v>10</v>
      </c>
      <c r="B967" t="str">
        <f t="shared" si="382"/>
        <v>25</v>
      </c>
      <c r="C967" s="1">
        <v>46091</v>
      </c>
      <c r="D967" t="str">
        <f>CLEAN("7833-00-71")</f>
        <v>7833-00-71</v>
      </c>
      <c r="E967" t="str">
        <f t="shared" si="383"/>
        <v xml:space="preserve">205  </v>
      </c>
      <c r="F967" t="str">
        <f>CLEAN("$500,000 - $749,999      ")</f>
        <v xml:space="preserve">$500,000 - $749,999      </v>
      </c>
      <c r="G967" t="str">
        <f t="shared" si="384"/>
        <v>LET</v>
      </c>
      <c r="H967" t="str">
        <f t="shared" si="385"/>
        <v xml:space="preserve">LET CONSTRUCTION         </v>
      </c>
      <c r="I967" t="str">
        <f>CLEAN("CONSTRUCTION/BRIDGE REPLACEMENT    ")</f>
        <v xml:space="preserve">CONSTRUCTION/BRIDGE REPLACEMENT    </v>
      </c>
      <c r="J967" t="str">
        <f t="shared" ref="J967:J972" si="387">CLEAN("LOC STR")</f>
        <v>LOC STR</v>
      </c>
      <c r="K967" t="str">
        <f>CLEAN("CLARK                         ")</f>
        <v xml:space="preserve">CLARK                         </v>
      </c>
      <c r="L967" t="str">
        <f>CLEAN("T WORDEN, WORDEN ROAD              ")</f>
        <v xml:space="preserve">T WORDEN, WORDEN ROAD              </v>
      </c>
      <c r="M967" t="str">
        <f>CLEAN("WOLF RIVER BRIDGE B-10-0259        ")</f>
        <v xml:space="preserve">WOLF RIVER BRIDGE B-10-0259        </v>
      </c>
      <c r="N967">
        <v>0</v>
      </c>
      <c r="O967" t="str">
        <f t="shared" si="381"/>
        <v xml:space="preserve">          </v>
      </c>
      <c r="P967" t="str">
        <f t="shared" si="386"/>
        <v xml:space="preserve">LOCAL BRIDGES                                                                                       </v>
      </c>
    </row>
    <row r="968" spans="1:16" x14ac:dyDescent="0.25">
      <c r="A968" t="str">
        <f t="shared" si="374"/>
        <v>10</v>
      </c>
      <c r="B968" t="str">
        <f t="shared" si="382"/>
        <v>25</v>
      </c>
      <c r="C968" s="1">
        <v>46063</v>
      </c>
      <c r="D968" t="str">
        <f>CLEAN("7837-00-71")</f>
        <v>7837-00-71</v>
      </c>
      <c r="E968" t="str">
        <f t="shared" si="383"/>
        <v xml:space="preserve">205  </v>
      </c>
      <c r="F968" t="str">
        <f>CLEAN("$250,000 - $499,999      ")</f>
        <v xml:space="preserve">$250,000 - $499,999      </v>
      </c>
      <c r="G968" t="str">
        <f t="shared" si="384"/>
        <v>LET</v>
      </c>
      <c r="H968" t="str">
        <f t="shared" si="385"/>
        <v xml:space="preserve">LET CONSTRUCTION         </v>
      </c>
      <c r="I968" t="str">
        <f>CLEAN("CONSTRUCTION/BRIDGE REPLACEMENT    ")</f>
        <v xml:space="preserve">CONSTRUCTION/BRIDGE REPLACEMENT    </v>
      </c>
      <c r="J968" t="str">
        <f t="shared" si="387"/>
        <v>LOC STR</v>
      </c>
      <c r="K968" t="str">
        <f>CLEAN("CLARK                         ")</f>
        <v xml:space="preserve">CLARK                         </v>
      </c>
      <c r="L968" t="str">
        <f>CLEAN("T COLBY, SANDHILL AVENUE           ")</f>
        <v xml:space="preserve">T COLBY, SANDHILL AVENUE           </v>
      </c>
      <c r="M968" t="str">
        <f>CLEAN("POPPLE RIVER BRIDGE B-10-0264      ")</f>
        <v xml:space="preserve">POPPLE RIVER BRIDGE B-10-0264      </v>
      </c>
      <c r="N968">
        <v>0</v>
      </c>
      <c r="O968" t="str">
        <f t="shared" si="381"/>
        <v xml:space="preserve">          </v>
      </c>
      <c r="P968" t="str">
        <f t="shared" si="386"/>
        <v xml:space="preserve">LOCAL BRIDGES                                                                                       </v>
      </c>
    </row>
    <row r="969" spans="1:16" x14ac:dyDescent="0.25">
      <c r="A969" t="str">
        <f t="shared" si="374"/>
        <v>10</v>
      </c>
      <c r="B969" t="str">
        <f t="shared" si="382"/>
        <v>25</v>
      </c>
      <c r="C969" s="1">
        <v>46035</v>
      </c>
      <c r="D969" t="str">
        <f>CLEAN("7841-00-74")</f>
        <v>7841-00-74</v>
      </c>
      <c r="E969" t="str">
        <f t="shared" si="383"/>
        <v xml:space="preserve">205  </v>
      </c>
      <c r="F969" t="str">
        <f>CLEAN("$250,000 - $499,999      ")</f>
        <v xml:space="preserve">$250,000 - $499,999      </v>
      </c>
      <c r="G969" t="str">
        <f t="shared" si="384"/>
        <v>LET</v>
      </c>
      <c r="H969" t="str">
        <f t="shared" si="385"/>
        <v xml:space="preserve">LET CONSTRUCTION         </v>
      </c>
      <c r="I969" t="str">
        <f>CLEAN("CONSTRUCTION/BRRPL                 ")</f>
        <v xml:space="preserve">CONSTRUCTION/BRRPL                 </v>
      </c>
      <c r="J969" t="str">
        <f t="shared" si="387"/>
        <v>LOC STR</v>
      </c>
      <c r="K969" t="str">
        <f>CLEAN("CLARK                         ")</f>
        <v xml:space="preserve">CLARK                         </v>
      </c>
      <c r="L969" t="str">
        <f>CLEAN("T BEAVER, RIPLINGER RD             ")</f>
        <v xml:space="preserve">T BEAVER, RIPLINGER RD             </v>
      </c>
      <c r="M969" t="str">
        <f>CLEAN("NELSON CREEK BRIDGE B-10-0266      ")</f>
        <v xml:space="preserve">NELSON CREEK BRIDGE B-10-0266      </v>
      </c>
      <c r="N969">
        <v>0</v>
      </c>
      <c r="O969" t="str">
        <f t="shared" si="381"/>
        <v xml:space="preserve">          </v>
      </c>
      <c r="P969" t="str">
        <f t="shared" si="386"/>
        <v xml:space="preserve">LOCAL BRIDGES                                                                                       </v>
      </c>
    </row>
    <row r="970" spans="1:16" x14ac:dyDescent="0.25">
      <c r="A970" t="str">
        <f t="shared" si="374"/>
        <v>10</v>
      </c>
      <c r="B970" t="str">
        <f t="shared" si="382"/>
        <v>25</v>
      </c>
      <c r="C970" s="1">
        <v>46063</v>
      </c>
      <c r="D970" t="str">
        <f>CLEAN("7846-00-71")</f>
        <v>7846-00-71</v>
      </c>
      <c r="E970" t="str">
        <f t="shared" si="383"/>
        <v xml:space="preserve">205  </v>
      </c>
      <c r="F970" t="str">
        <f>CLEAN("$250,000 - $499,999      ")</f>
        <v xml:space="preserve">$250,000 - $499,999      </v>
      </c>
      <c r="G970" t="str">
        <f t="shared" si="384"/>
        <v>LET</v>
      </c>
      <c r="H970" t="str">
        <f t="shared" si="385"/>
        <v xml:space="preserve">LET CONSTRUCTION         </v>
      </c>
      <c r="I970" t="str">
        <f>CLEAN("CONSTRUCTION/BRIDGE REPLACEMENT    ")</f>
        <v xml:space="preserve">CONSTRUCTION/BRIDGE REPLACEMENT    </v>
      </c>
      <c r="J970" t="str">
        <f t="shared" si="387"/>
        <v>LOC STR</v>
      </c>
      <c r="K970" t="str">
        <f>CLEAN("CLARK                         ")</f>
        <v xml:space="preserve">CLARK                         </v>
      </c>
      <c r="L970" t="str">
        <f>CLEAN("T LOYAL, SPENCER ROAD              ")</f>
        <v xml:space="preserve">T LOYAL, SPENCER ROAD              </v>
      </c>
      <c r="M970" t="str">
        <f>CLEAN("ROCK CREEK BRIDGE B-10-0258        ")</f>
        <v xml:space="preserve">ROCK CREEK BRIDGE B-10-0258        </v>
      </c>
      <c r="N970">
        <v>0</v>
      </c>
      <c r="O970" t="str">
        <f t="shared" si="381"/>
        <v xml:space="preserve">          </v>
      </c>
      <c r="P970" t="str">
        <f t="shared" si="386"/>
        <v xml:space="preserve">LOCAL BRIDGES                                                                                       </v>
      </c>
    </row>
    <row r="971" spans="1:16" x14ac:dyDescent="0.25">
      <c r="A971" t="str">
        <f t="shared" si="374"/>
        <v>10</v>
      </c>
      <c r="B971" t="str">
        <f t="shared" si="382"/>
        <v>25</v>
      </c>
      <c r="C971" s="1">
        <v>46000</v>
      </c>
      <c r="D971" t="str">
        <f>CLEAN("7856-00-71")</f>
        <v>7856-00-71</v>
      </c>
      <c r="E971" t="str">
        <f t="shared" si="383"/>
        <v xml:space="preserve">205  </v>
      </c>
      <c r="F971" t="str">
        <f>CLEAN("$250,000 - $499,999      ")</f>
        <v xml:space="preserve">$250,000 - $499,999      </v>
      </c>
      <c r="G971" t="str">
        <f t="shared" si="384"/>
        <v>LET</v>
      </c>
      <c r="H971" t="str">
        <f t="shared" si="385"/>
        <v xml:space="preserve">LET CONSTRUCTION         </v>
      </c>
      <c r="I971" t="str">
        <f>CLEAN("CONSTRUCTION/BRIDGE REPLACEMENT    ")</f>
        <v xml:space="preserve">CONSTRUCTION/BRIDGE REPLACEMENT    </v>
      </c>
      <c r="J971" t="str">
        <f t="shared" si="387"/>
        <v>LOC STR</v>
      </c>
      <c r="K971" t="str">
        <f>CLEAN("CLARK                         ")</f>
        <v xml:space="preserve">CLARK                         </v>
      </c>
      <c r="L971" t="str">
        <f>CLEAN("T LYNN, CATLIN AVENUE              ")</f>
        <v xml:space="preserve">T LYNN, CATLIN AVENUE              </v>
      </c>
      <c r="M971" t="str">
        <f>CLEAN("S BR ONEILL CREEK BRIDGE B-10-0256 ")</f>
        <v xml:space="preserve">S BR ONEILL CREEK BRIDGE B-10-0256 </v>
      </c>
      <c r="N971">
        <v>0</v>
      </c>
      <c r="O971" t="str">
        <f t="shared" si="381"/>
        <v xml:space="preserve">          </v>
      </c>
      <c r="P971" t="str">
        <f t="shared" si="386"/>
        <v xml:space="preserve">LOCAL BRIDGES                                                                                       </v>
      </c>
    </row>
    <row r="972" spans="1:16" x14ac:dyDescent="0.25">
      <c r="A972" t="str">
        <f t="shared" si="374"/>
        <v>10</v>
      </c>
      <c r="B972" t="str">
        <f t="shared" si="382"/>
        <v>25</v>
      </c>
      <c r="C972" s="1">
        <v>45944</v>
      </c>
      <c r="D972" t="str">
        <f>CLEAN("7868-00-70")</f>
        <v>7868-00-70</v>
      </c>
      <c r="E972" t="str">
        <f t="shared" si="383"/>
        <v xml:space="preserve">205  </v>
      </c>
      <c r="F972" t="str">
        <f>CLEAN("$500,000 - $749,999      ")</f>
        <v xml:space="preserve">$500,000 - $749,999      </v>
      </c>
      <c r="G972" t="str">
        <f t="shared" si="384"/>
        <v>LET</v>
      </c>
      <c r="H972" t="str">
        <f t="shared" si="385"/>
        <v xml:space="preserve">LET CONSTRUCTION         </v>
      </c>
      <c r="I972" t="str">
        <f>CLEAN("CONSTRUCTION/BRIDGE REPLACEMENT    ")</f>
        <v xml:space="preserve">CONSTRUCTION/BRIDGE REPLACEMENT    </v>
      </c>
      <c r="J972" t="str">
        <f t="shared" si="387"/>
        <v>LOC STR</v>
      </c>
      <c r="K972" t="str">
        <f>CLEAN("PEPIN                         ")</f>
        <v xml:space="preserve">PEPIN                         </v>
      </c>
      <c r="L972" t="str">
        <f>CLEAN("T DURAND, DORWINS MILL ROAD        ")</f>
        <v xml:space="preserve">T DURAND, DORWINS MILL ROAD        </v>
      </c>
      <c r="M972" t="str">
        <f>CLEAN("BEAR CREEK BRIDGE B-46-0057        ")</f>
        <v xml:space="preserve">BEAR CREEK BRIDGE B-46-0057        </v>
      </c>
      <c r="N972">
        <v>3.3000000000000002E-2</v>
      </c>
      <c r="O972" t="str">
        <f t="shared" si="381"/>
        <v xml:space="preserve">          </v>
      </c>
      <c r="P972" t="str">
        <f t="shared" si="386"/>
        <v xml:space="preserve">LOCAL BRIDGES                                                                                       </v>
      </c>
    </row>
    <row r="973" spans="1:16" x14ac:dyDescent="0.25">
      <c r="A973" t="str">
        <f t="shared" si="374"/>
        <v>10</v>
      </c>
      <c r="B973" t="str">
        <f t="shared" si="382"/>
        <v>25</v>
      </c>
      <c r="C973" s="1">
        <v>46035</v>
      </c>
      <c r="D973" t="str">
        <f>CLEAN("7878-03-70")</f>
        <v>7878-03-70</v>
      </c>
      <c r="E973" t="str">
        <f t="shared" si="383"/>
        <v xml:space="preserve">205  </v>
      </c>
      <c r="F973" t="str">
        <f>CLEAN("$250,000 - $499,999      ")</f>
        <v xml:space="preserve">$250,000 - $499,999      </v>
      </c>
      <c r="G973" t="str">
        <f t="shared" si="384"/>
        <v>LET</v>
      </c>
      <c r="H973" t="str">
        <f t="shared" si="385"/>
        <v xml:space="preserve">LET CONSTRUCTION         </v>
      </c>
      <c r="I973" t="str">
        <f>CLEAN("CONSTRUCTION/BRIDGE REPLACEMENT    ")</f>
        <v xml:space="preserve">CONSTRUCTION/BRIDGE REPLACEMENT    </v>
      </c>
      <c r="J973" t="str">
        <f>CLEAN("CTH P  ")</f>
        <v xml:space="preserve">CTH P  </v>
      </c>
      <c r="K973" t="str">
        <f>CLEAN("DUNN                          ")</f>
        <v xml:space="preserve">DUNN                          </v>
      </c>
      <c r="L973" t="str">
        <f>CLEAN("WCL - MENOMONIE                    ")</f>
        <v xml:space="preserve">WCL - MENOMONIE                    </v>
      </c>
      <c r="M973" t="str">
        <f>CLEAN("IRVING CREEK BRIDGE B-17-0238      ")</f>
        <v xml:space="preserve">IRVING CREEK BRIDGE B-17-0238      </v>
      </c>
      <c r="N973">
        <v>6.3E-2</v>
      </c>
      <c r="O973" t="str">
        <f t="shared" si="381"/>
        <v xml:space="preserve">          </v>
      </c>
      <c r="P973" t="str">
        <f t="shared" si="386"/>
        <v xml:space="preserve">LOCAL BRIDGES                                                                                       </v>
      </c>
    </row>
    <row r="974" spans="1:16" x14ac:dyDescent="0.25">
      <c r="A974" t="str">
        <f t="shared" si="374"/>
        <v>10</v>
      </c>
      <c r="B974" t="str">
        <f t="shared" si="382"/>
        <v>25</v>
      </c>
      <c r="C974" s="1">
        <v>45972</v>
      </c>
      <c r="D974" t="str">
        <f>CLEAN("7881-05-74")</f>
        <v>7881-05-74</v>
      </c>
      <c r="E974" t="str">
        <f t="shared" si="383"/>
        <v xml:space="preserve">205  </v>
      </c>
      <c r="F974" t="str">
        <f>CLEAN("$500,000 - $749,999      ")</f>
        <v xml:space="preserve">$500,000 - $749,999      </v>
      </c>
      <c r="G974" t="str">
        <f t="shared" si="384"/>
        <v>LET</v>
      </c>
      <c r="H974" t="str">
        <f t="shared" si="385"/>
        <v xml:space="preserve">LET CONSTRUCTION         </v>
      </c>
      <c r="I974" t="str">
        <f>CLEAN("CONSTRUCTION/BRRHB                 ")</f>
        <v xml:space="preserve">CONSTRUCTION/BRRHB                 </v>
      </c>
      <c r="J974" t="str">
        <f>CLEAN("CTH D  ")</f>
        <v xml:space="preserve">CTH D  </v>
      </c>
      <c r="K974" t="str">
        <f>CLEAN("DUNN                          ")</f>
        <v xml:space="preserve">DUNN                          </v>
      </c>
      <c r="L974" t="str">
        <f>CLEAN("WESTON - MENOMONIE                 ")</f>
        <v xml:space="preserve">WESTON - MENOMONIE                 </v>
      </c>
      <c r="M974" t="str">
        <f>CLEAN("RED CEDAR RIVER BRIDGE B-17-0078   ")</f>
        <v xml:space="preserve">RED CEDAR RIVER BRIDGE B-17-0078   </v>
      </c>
      <c r="N974">
        <v>9.0999999999999998E-2</v>
      </c>
      <c r="O974" t="str">
        <f t="shared" si="381"/>
        <v xml:space="preserve">          </v>
      </c>
      <c r="P974" t="str">
        <f t="shared" si="386"/>
        <v xml:space="preserve">LOCAL BRIDGES                                                                                       </v>
      </c>
    </row>
    <row r="975" spans="1:16" x14ac:dyDescent="0.25">
      <c r="A975" t="str">
        <f t="shared" si="374"/>
        <v>10</v>
      </c>
      <c r="B975" t="str">
        <f t="shared" si="382"/>
        <v>25</v>
      </c>
      <c r="C975" s="1">
        <v>46126</v>
      </c>
      <c r="D975" t="str">
        <f>CLEAN("7895-00-71")</f>
        <v>7895-00-71</v>
      </c>
      <c r="E975" t="str">
        <f t="shared" si="383"/>
        <v xml:space="preserve">205  </v>
      </c>
      <c r="F975" t="str">
        <f>CLEAN("$500,000 - $749,999      ")</f>
        <v xml:space="preserve">$500,000 - $749,999      </v>
      </c>
      <c r="G975" t="str">
        <f t="shared" si="384"/>
        <v>LET</v>
      </c>
      <c r="H975" t="str">
        <f t="shared" si="385"/>
        <v xml:space="preserve">LET CONSTRUCTION         </v>
      </c>
      <c r="I975" t="str">
        <f>CLEAN("CONSTRUCTION/BRIDGE REPLACEMENT    ")</f>
        <v xml:space="preserve">CONSTRUCTION/BRIDGE REPLACEMENT    </v>
      </c>
      <c r="J975" t="str">
        <f>CLEAN("LOC STR")</f>
        <v>LOC STR</v>
      </c>
      <c r="K975" t="str">
        <f>CLEAN("PIERCE                        ")</f>
        <v xml:space="preserve">PIERCE                        </v>
      </c>
      <c r="L975" t="str">
        <f>CLEAN("T HARTLAND, 570TH STREET           ")</f>
        <v xml:space="preserve">T HARTLAND, 570TH STREET           </v>
      </c>
      <c r="M975" t="str">
        <f>CLEAN("DRY RUN BRIDGE B-47-0232           ")</f>
        <v xml:space="preserve">DRY RUN BRIDGE B-47-0232           </v>
      </c>
      <c r="N975">
        <v>0</v>
      </c>
      <c r="O975" t="str">
        <f t="shared" si="381"/>
        <v xml:space="preserve">          </v>
      </c>
      <c r="P975" t="str">
        <f t="shared" si="386"/>
        <v xml:space="preserve">LOCAL BRIDGES                                                                                       </v>
      </c>
    </row>
    <row r="976" spans="1:16" x14ac:dyDescent="0.25">
      <c r="A976" t="str">
        <f t="shared" si="374"/>
        <v>10</v>
      </c>
      <c r="B976" t="str">
        <f t="shared" si="382"/>
        <v>25</v>
      </c>
      <c r="C976" s="1">
        <v>45986</v>
      </c>
      <c r="D976" t="str">
        <f>CLEAN("7905-00-21")</f>
        <v>7905-00-21</v>
      </c>
      <c r="E976" t="str">
        <f>CLEAN("303  ")</f>
        <v xml:space="preserve">303  </v>
      </c>
      <c r="F976" t="str">
        <f>CLEAN("$0 - $99,999             ")</f>
        <v xml:space="preserve">$0 - $99,999             </v>
      </c>
      <c r="G976" t="str">
        <f>CLEAN("R/E")</f>
        <v>R/E</v>
      </c>
      <c r="H976" t="str">
        <f>CLEAN("NONLET CONSTR/REAL ESTATE")</f>
        <v>NONLET CONSTR/REAL ESTATE</v>
      </c>
      <c r="I976" t="str">
        <f>CLEAN("REAL ESTATE ACQUISITION            ")</f>
        <v xml:space="preserve">REAL ESTATE ACQUISITION            </v>
      </c>
      <c r="J976" t="str">
        <f>CLEAN("USH 053")</f>
        <v>USH 053</v>
      </c>
      <c r="K976" t="str">
        <f>CLEAN("EAU CLAIRE                    ")</f>
        <v xml:space="preserve">EAU CLAIRE                    </v>
      </c>
      <c r="L976" t="str">
        <f>CLEAN("OSSEO - EAU CLAIRE                 ")</f>
        <v xml:space="preserve">OSSEO - EAU CLAIRE                 </v>
      </c>
      <c r="M976" t="str">
        <f>CLEAN("USH 10 W TO OLD TOWN HALL ROAD     ")</f>
        <v xml:space="preserve">USH 10 W TO OLD TOWN HALL ROAD     </v>
      </c>
      <c r="N976">
        <v>15.414999999999999</v>
      </c>
      <c r="O976" t="str">
        <f t="shared" si="381"/>
        <v xml:space="preserve">          </v>
      </c>
      <c r="P976" t="str">
        <f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977" spans="1:16" x14ac:dyDescent="0.25">
      <c r="A977" t="str">
        <f t="shared" si="374"/>
        <v>10</v>
      </c>
      <c r="B977" t="str">
        <f t="shared" si="382"/>
        <v>25</v>
      </c>
      <c r="C977" s="1">
        <v>46000</v>
      </c>
      <c r="D977" t="str">
        <f>CLEAN("7995-02-72")</f>
        <v>7995-02-72</v>
      </c>
      <c r="E977" t="str">
        <f>CLEAN("303  ")</f>
        <v xml:space="preserve">303  </v>
      </c>
      <c r="F977" t="str">
        <f>CLEAN("$1,000,000 - $1,999,999  ")</f>
        <v xml:space="preserve">$1,000,000 - $1,999,999  </v>
      </c>
      <c r="G977" t="str">
        <f t="shared" ref="G977:G982" si="388">CLEAN("LET")</f>
        <v>LET</v>
      </c>
      <c r="H977" t="str">
        <f t="shared" ref="H977:H982" si="389">CLEAN("LET CONSTRUCTION         ")</f>
        <v xml:space="preserve">LET CONSTRUCTION         </v>
      </c>
      <c r="I977" t="str">
        <f>CLEAN("PER WISDOT ADA TRANS PLAN 331 RAMPS")</f>
        <v>PER WISDOT ADA TRANS PLAN 331 RAMPS</v>
      </c>
      <c r="J977" t="str">
        <f>CLEAN("VAR HWY")</f>
        <v>VAR HWY</v>
      </c>
      <c r="K977" t="str">
        <f>CLEAN("EAU CLAIRE                    ")</f>
        <v xml:space="preserve">EAU CLAIRE                    </v>
      </c>
      <c r="L977" t="str">
        <f>CLEAN("C EAU CLAIRE, VARIOUS HIGHWAYS     ")</f>
        <v xml:space="preserve">C EAU CLAIRE, VARIOUS HIGHWAYS     </v>
      </c>
      <c r="M977" t="str">
        <f>CLEAN("STH 93, 312 &amp; USH 12 CURB RAMPS    ")</f>
        <v xml:space="preserve">STH 93, 312 &amp; USH 12 CURB RAMPS    </v>
      </c>
      <c r="N977">
        <v>4.0199999999999996</v>
      </c>
      <c r="O977" t="str">
        <f t="shared" si="381"/>
        <v xml:space="preserve">          </v>
      </c>
      <c r="P977" t="str">
        <f>CLEAN("CURB RAMP STANDALONE                                                                                ")</f>
        <v xml:space="preserve">CURB RAMP STANDALONE                                                                                </v>
      </c>
    </row>
    <row r="978" spans="1:16" x14ac:dyDescent="0.25">
      <c r="A978" t="str">
        <f t="shared" si="374"/>
        <v>10</v>
      </c>
      <c r="B978" t="str">
        <f t="shared" si="382"/>
        <v>25</v>
      </c>
      <c r="C978" s="1">
        <v>46091</v>
      </c>
      <c r="D978" t="str">
        <f>CLEAN("7995-02-74")</f>
        <v>7995-02-74</v>
      </c>
      <c r="E978" t="str">
        <f>CLEAN("206  ")</f>
        <v xml:space="preserve">206  </v>
      </c>
      <c r="F978" t="str">
        <f>CLEAN("$2,000,000 - $2,999,999  ")</f>
        <v xml:space="preserve">$2,000,000 - $2,999,999  </v>
      </c>
      <c r="G978" t="str">
        <f t="shared" si="388"/>
        <v>LET</v>
      </c>
      <c r="H978" t="str">
        <f t="shared" si="389"/>
        <v xml:space="preserve">LET CONSTRUCTION         </v>
      </c>
      <c r="I978" t="str">
        <f>CLEAN("CONSTRUCTION/RECONSTRUCTION        ")</f>
        <v xml:space="preserve">CONSTRUCTION/RECONSTRUCTION        </v>
      </c>
      <c r="J978" t="str">
        <f>CLEAN("LOC STR")</f>
        <v>LOC STR</v>
      </c>
      <c r="K978" t="str">
        <f>CLEAN("EAU CLAIRE                    ")</f>
        <v xml:space="preserve">EAU CLAIRE                    </v>
      </c>
      <c r="L978" t="str">
        <f>CLEAN("C EAU CLAIRE, COUNTY LINE RD       ")</f>
        <v xml:space="preserve">C EAU CLAIRE, COUNTY LINE RD       </v>
      </c>
      <c r="M978" t="str">
        <f>CLEAN("2800 W OF JEFFERS RD TO JEFFERS RD ")</f>
        <v xml:space="preserve">2800 W OF JEFFERS RD TO JEFFERS RD </v>
      </c>
      <c r="N978">
        <v>0.23</v>
      </c>
      <c r="O978" t="str">
        <f t="shared" si="381"/>
        <v xml:space="preserve">          </v>
      </c>
      <c r="P978" t="str">
        <f>CLEAN("STP URBAN 50,000 - 200,000                                                                          ")</f>
        <v xml:space="preserve">STP URBAN 50,000 - 200,000                                                                          </v>
      </c>
    </row>
    <row r="979" spans="1:16" x14ac:dyDescent="0.25">
      <c r="A979" t="str">
        <f t="shared" si="374"/>
        <v>10</v>
      </c>
      <c r="B979" t="str">
        <f>CLEAN("21")</f>
        <v>21</v>
      </c>
      <c r="C979" s="1">
        <v>46035</v>
      </c>
      <c r="D979" t="str">
        <f>CLEAN("7998-00-75")</f>
        <v>7998-00-75</v>
      </c>
      <c r="E979" t="str">
        <f>CLEAN("206  ")</f>
        <v xml:space="preserve">206  </v>
      </c>
      <c r="F979" t="str">
        <f>CLEAN("$1,000,000 - $1,999,999  ")</f>
        <v xml:space="preserve">$1,000,000 - $1,999,999  </v>
      </c>
      <c r="G979" t="str">
        <f t="shared" si="388"/>
        <v>LET</v>
      </c>
      <c r="H979" t="str">
        <f t="shared" si="389"/>
        <v xml:space="preserve">LET CONSTRUCTION         </v>
      </c>
      <c r="I979" t="str">
        <f>CLEAN("CONST OPS/RECONTRUCTION            ")</f>
        <v xml:space="preserve">CONST OPS/RECONTRUCTION            </v>
      </c>
      <c r="J979" t="str">
        <f>CLEAN("LOC STR")</f>
        <v>LOC STR</v>
      </c>
      <c r="K979" t="str">
        <f>CLEAN("MONROE                        ")</f>
        <v xml:space="preserve">MONROE                        </v>
      </c>
      <c r="L979" t="str">
        <f>CLEAN("CITY OF TOMAH, N GLENDALE AVENUE   ")</f>
        <v xml:space="preserve">CITY OF TOMAH, N GLENDALE AVENUE   </v>
      </c>
      <c r="M979" t="str">
        <f>CLEAN("E WASHINGTON ST TO ARTHUR ST       ")</f>
        <v xml:space="preserve">E WASHINGTON ST TO ARTHUR ST       </v>
      </c>
      <c r="N979">
        <v>0.53</v>
      </c>
      <c r="O979" t="str">
        <f>CLEAN("7998-00-76")</f>
        <v>7998-00-76</v>
      </c>
      <c r="P979" t="str">
        <f>CLEAN("STP URBAN 5,000 - 20,000                                                                            ")</f>
        <v xml:space="preserve">STP URBAN 5,000 - 20,000                                                                            </v>
      </c>
    </row>
    <row r="980" spans="1:16" x14ac:dyDescent="0.25">
      <c r="A980" t="str">
        <f t="shared" si="374"/>
        <v>10</v>
      </c>
      <c r="B980" t="str">
        <f>CLEAN("21")</f>
        <v>21</v>
      </c>
      <c r="C980" s="1">
        <v>46035</v>
      </c>
      <c r="D980" t="str">
        <f>CLEAN("7998-00-76")</f>
        <v>7998-00-76</v>
      </c>
      <c r="E980" t="str">
        <f>CLEAN("206  ")</f>
        <v xml:space="preserve">206  </v>
      </c>
      <c r="F980" t="str">
        <f>CLEAN("$1,000,000 - $1,999,999  ")</f>
        <v xml:space="preserve">$1,000,000 - $1,999,999  </v>
      </c>
      <c r="G980" t="str">
        <f t="shared" si="388"/>
        <v>LET</v>
      </c>
      <c r="H980" t="str">
        <f t="shared" si="389"/>
        <v xml:space="preserve">LET CONSTRUCTION         </v>
      </c>
      <c r="I980" t="str">
        <f>CLEAN("UTL OPS/SANITARY SEWER - WATER MAIN")</f>
        <v>UTL OPS/SANITARY SEWER - WATER MAIN</v>
      </c>
      <c r="J980" t="str">
        <f>CLEAN("LOC STR")</f>
        <v>LOC STR</v>
      </c>
      <c r="K980" t="str">
        <f>CLEAN("MONROE                        ")</f>
        <v xml:space="preserve">MONROE                        </v>
      </c>
      <c r="L980" t="str">
        <f>CLEAN("CITY OF TOMAH, N GLENDALE AVENUE   ")</f>
        <v xml:space="preserve">CITY OF TOMAH, N GLENDALE AVENUE   </v>
      </c>
      <c r="M980" t="str">
        <f>CLEAN("E WASHINGTON ST TO ARTHUR ST       ")</f>
        <v xml:space="preserve">E WASHINGTON ST TO ARTHUR ST       </v>
      </c>
      <c r="N980">
        <v>0.53</v>
      </c>
      <c r="O980" t="str">
        <f>CLEAN("7998-00-75")</f>
        <v>7998-00-75</v>
      </c>
      <c r="P980" t="str">
        <f>CLEAN("STP URBAN 5,000 - 20,000                                                                            ")</f>
        <v xml:space="preserve">STP URBAN 5,000 - 20,000                                                                            </v>
      </c>
    </row>
    <row r="981" spans="1:16" x14ac:dyDescent="0.25">
      <c r="A981" t="str">
        <f t="shared" si="374"/>
        <v>10</v>
      </c>
      <c r="B981" t="str">
        <f t="shared" ref="B981:B1021" si="390">CLEAN("25")</f>
        <v>25</v>
      </c>
      <c r="C981" s="1">
        <v>46000</v>
      </c>
      <c r="D981" t="str">
        <f>CLEAN("8010-01-79")</f>
        <v>8010-01-79</v>
      </c>
      <c r="E981" t="str">
        <f t="shared" ref="E981:E999" si="391">CLEAN("303  ")</f>
        <v xml:space="preserve">303  </v>
      </c>
      <c r="F981" t="str">
        <f>CLEAN("$7,000,000 - $7,999,999  ")</f>
        <v xml:space="preserve">$7,000,000 - $7,999,999  </v>
      </c>
      <c r="G981" t="str">
        <f t="shared" si="388"/>
        <v>LET</v>
      </c>
      <c r="H981" t="str">
        <f t="shared" si="389"/>
        <v xml:space="preserve">LET CONSTRUCTION         </v>
      </c>
      <c r="I981" t="str">
        <f>CLEAN("CONSTRUCTION/RESURFACING           ")</f>
        <v xml:space="preserve">CONSTRUCTION/RESURFACING           </v>
      </c>
      <c r="J981" t="str">
        <f>CLEAN("STH 035")</f>
        <v>STH 035</v>
      </c>
      <c r="K981" t="str">
        <f>CLEAN("BURNETT                       ")</f>
        <v xml:space="preserve">BURNETT                       </v>
      </c>
      <c r="L981" t="str">
        <f>CLEAN("SIREN - DANBURY                    ")</f>
        <v xml:space="preserve">SIREN - DANBURY                    </v>
      </c>
      <c r="M981" t="str">
        <f>CLEAN("LANQUIST ST TO STH 70 E            ")</f>
        <v xml:space="preserve">LANQUIST ST TO STH 70 E            </v>
      </c>
      <c r="N981">
        <v>2.335</v>
      </c>
      <c r="O981" t="str">
        <f>CLEAN("          ")</f>
        <v xml:space="preserve">          </v>
      </c>
      <c r="P981" t="str">
        <f t="shared" ref="P981:P987" si="392"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982" spans="1:16" x14ac:dyDescent="0.25">
      <c r="A982" t="str">
        <f t="shared" si="374"/>
        <v>10</v>
      </c>
      <c r="B982" t="str">
        <f t="shared" si="390"/>
        <v>25</v>
      </c>
      <c r="C982" s="1">
        <v>46000</v>
      </c>
      <c r="D982" t="str">
        <f>CLEAN("8030-00-70")</f>
        <v>8030-00-70</v>
      </c>
      <c r="E982" t="str">
        <f t="shared" si="391"/>
        <v xml:space="preserve">303  </v>
      </c>
      <c r="F982" t="str">
        <f>CLEAN("$9,000,000 - $9,999,999  ")</f>
        <v xml:space="preserve">$9,000,000 - $9,999,999  </v>
      </c>
      <c r="G982" t="str">
        <f t="shared" si="388"/>
        <v>LET</v>
      </c>
      <c r="H982" t="str">
        <f t="shared" si="389"/>
        <v xml:space="preserve">LET CONSTRUCTION         </v>
      </c>
      <c r="I982" t="str">
        <f>CLEAN("CONSTRUCTION/CIR/RESURFACING       ")</f>
        <v xml:space="preserve">CONSTRUCTION/CIR/RESURFACING       </v>
      </c>
      <c r="J982" t="str">
        <f>CLEAN("STH 046")</f>
        <v>STH 046</v>
      </c>
      <c r="K982" t="str">
        <f>CLEAN("POLK                          ")</f>
        <v xml:space="preserve">POLK                          </v>
      </c>
      <c r="L982" t="str">
        <f>CLEAN("AMERY - MILLTOWN                   ")</f>
        <v xml:space="preserve">AMERY - MILLTOWN                   </v>
      </c>
      <c r="M982" t="str">
        <f>CLEAN("USH 8 TO STH 35                    ")</f>
        <v xml:space="preserve">USH 8 TO STH 35                    </v>
      </c>
      <c r="N982">
        <v>11.42</v>
      </c>
      <c r="O982" t="str">
        <f>CLEAN("          ")</f>
        <v xml:space="preserve">          </v>
      </c>
      <c r="P982" t="str">
        <f t="shared" si="392"/>
        <v xml:space="preserve">STATE 3R                                                                                            </v>
      </c>
    </row>
    <row r="983" spans="1:16" x14ac:dyDescent="0.25">
      <c r="A983" t="str">
        <f t="shared" si="374"/>
        <v>10</v>
      </c>
      <c r="B983" t="str">
        <f t="shared" si="390"/>
        <v>25</v>
      </c>
      <c r="C983" s="1">
        <v>45986</v>
      </c>
      <c r="D983" t="str">
        <f>CLEAN("8040-00-21")</f>
        <v>8040-00-21</v>
      </c>
      <c r="E983" t="str">
        <f t="shared" si="391"/>
        <v xml:space="preserve">303  </v>
      </c>
      <c r="F983" t="str">
        <f>CLEAN("$0 - $99,999             ")</f>
        <v xml:space="preserve">$0 - $99,999             </v>
      </c>
      <c r="G983" t="str">
        <f>CLEAN("R/E")</f>
        <v>R/E</v>
      </c>
      <c r="H983" t="str">
        <f>CLEAN("NONLET CONSTR/REAL ESTATE")</f>
        <v>NONLET CONSTR/REAL ESTATE</v>
      </c>
      <c r="I983" t="str">
        <f>CLEAN("REAL ESTATE ACQUISITION            ")</f>
        <v xml:space="preserve">REAL ESTATE ACQUISITION            </v>
      </c>
      <c r="J983" t="str">
        <f>CLEAN("STH 070")</f>
        <v>STH 070</v>
      </c>
      <c r="K983" t="str">
        <f>CLEAN("BURNETT                       ")</f>
        <v xml:space="preserve">BURNETT                       </v>
      </c>
      <c r="L983" t="str">
        <f>CLEAN("ST. CROIX RIVER - GRANTSBURG       ")</f>
        <v xml:space="preserve">ST. CROIX RIVER - GRANTSBURG       </v>
      </c>
      <c r="M983" t="str">
        <f>CLEAN("MN/WI STATE LN TO 350' E JOHNSON ST")</f>
        <v>MN/WI STATE LN TO 350' E JOHNSON ST</v>
      </c>
      <c r="N983">
        <v>5.37</v>
      </c>
      <c r="O983" t="str">
        <f>CLEAN("          ")</f>
        <v xml:space="preserve">          </v>
      </c>
      <c r="P983" t="str">
        <f t="shared" si="392"/>
        <v xml:space="preserve">STATE 3R                                                                                            </v>
      </c>
    </row>
    <row r="984" spans="1:16" x14ac:dyDescent="0.25">
      <c r="A984" t="str">
        <f t="shared" si="374"/>
        <v>10</v>
      </c>
      <c r="B984" t="str">
        <f t="shared" si="390"/>
        <v>25</v>
      </c>
      <c r="C984" s="1">
        <v>45944</v>
      </c>
      <c r="D984" t="str">
        <f>CLEAN("8080-08-75")</f>
        <v>8080-08-75</v>
      </c>
      <c r="E984" t="str">
        <f t="shared" si="391"/>
        <v xml:space="preserve">303  </v>
      </c>
      <c r="F984" t="str">
        <f>CLEAN("$6,000,000 - $6,999,999  ")</f>
        <v xml:space="preserve">$6,000,000 - $6,999,999  </v>
      </c>
      <c r="G984" t="str">
        <f>CLEAN("LET")</f>
        <v>LET</v>
      </c>
      <c r="H984" t="str">
        <f>CLEAN("LET CONSTRUCTION         ")</f>
        <v xml:space="preserve">LET CONSTRUCTION         </v>
      </c>
      <c r="I984" t="str">
        <f>CLEAN("CONSTRUCTION/PSRS30                ")</f>
        <v xml:space="preserve">CONSTRUCTION/PSRS30                </v>
      </c>
      <c r="J984" t="str">
        <f>CLEAN("STH 035")</f>
        <v>STH 035</v>
      </c>
      <c r="K984" t="str">
        <f>CLEAN("ST. CROIX                     ")</f>
        <v xml:space="preserve">ST. CROIX                     </v>
      </c>
      <c r="L984" t="str">
        <f>CLEAN("HUDSON - SOMERSET                  ")</f>
        <v xml:space="preserve">HUDSON - SOMERSET                  </v>
      </c>
      <c r="M984" t="str">
        <f>CLEAN("150TH AVE TO CTH C                 ")</f>
        <v xml:space="preserve">150TH AVE TO CTH C                 </v>
      </c>
      <c r="N984">
        <v>5.9080000000000004</v>
      </c>
      <c r="O984" t="str">
        <f>CLEAN("8110-00-79")</f>
        <v>8110-00-79</v>
      </c>
      <c r="P984" t="str">
        <f t="shared" si="392"/>
        <v xml:space="preserve">STATE 3R                                                                                            </v>
      </c>
    </row>
    <row r="985" spans="1:16" x14ac:dyDescent="0.25">
      <c r="A985" t="str">
        <f t="shared" si="374"/>
        <v>10</v>
      </c>
      <c r="B985" t="str">
        <f t="shared" si="390"/>
        <v>25</v>
      </c>
      <c r="C985" s="1">
        <v>46035</v>
      </c>
      <c r="D985" t="str">
        <f>CLEAN("8100-01-72")</f>
        <v>8100-01-72</v>
      </c>
      <c r="E985" t="str">
        <f t="shared" si="391"/>
        <v xml:space="preserve">303  </v>
      </c>
      <c r="F985" t="str">
        <f>CLEAN("$4,000,000 - $4,999,999  ")</f>
        <v xml:space="preserve">$4,000,000 - $4,999,999  </v>
      </c>
      <c r="G985" t="str">
        <f>CLEAN("LET")</f>
        <v>LET</v>
      </c>
      <c r="H985" t="str">
        <f>CLEAN("LET CONSTRUCTION         ")</f>
        <v xml:space="preserve">LET CONSTRUCTION         </v>
      </c>
      <c r="I985" t="str">
        <f>CLEAN("CONSTRUCTION/RESURFACING           ")</f>
        <v xml:space="preserve">CONSTRUCTION/RESURFACING           </v>
      </c>
      <c r="J985" t="str">
        <f>CLEAN("STH 025")</f>
        <v>STH 025</v>
      </c>
      <c r="K985" t="str">
        <f>CLEAN("DUNN                          ")</f>
        <v xml:space="preserve">DUNN                          </v>
      </c>
      <c r="L985" t="str">
        <f>CLEAN("MENOMONIE - RIDGELAND              ")</f>
        <v xml:space="preserve">MENOMONIE - RIDGELAND              </v>
      </c>
      <c r="M985" t="str">
        <f>CLEAN("IH 94 TO CTH D                     ")</f>
        <v xml:space="preserve">IH 94 TO CTH D                     </v>
      </c>
      <c r="N985">
        <v>4.8</v>
      </c>
      <c r="O985" t="str">
        <f>CLEAN("          ")</f>
        <v xml:space="preserve">          </v>
      </c>
      <c r="P985" t="str">
        <f t="shared" si="392"/>
        <v xml:space="preserve">STATE 3R                                                                                            </v>
      </c>
    </row>
    <row r="986" spans="1:16" x14ac:dyDescent="0.25">
      <c r="A986" t="str">
        <f t="shared" si="374"/>
        <v>10</v>
      </c>
      <c r="B986" t="str">
        <f t="shared" si="390"/>
        <v>25</v>
      </c>
      <c r="C986" s="1">
        <v>45944</v>
      </c>
      <c r="D986" t="str">
        <f>CLEAN("8110-00-79")</f>
        <v>8110-00-79</v>
      </c>
      <c r="E986" t="str">
        <f t="shared" si="391"/>
        <v xml:space="preserve">303  </v>
      </c>
      <c r="F986" t="str">
        <f>CLEAN("$5,000,000 - $5,999,999  ")</f>
        <v xml:space="preserve">$5,000,000 - $5,999,999  </v>
      </c>
      <c r="G986" t="str">
        <f>CLEAN("LET")</f>
        <v>LET</v>
      </c>
      <c r="H986" t="str">
        <f>CLEAN("LET CONSTRUCTION         ")</f>
        <v xml:space="preserve">LET CONSTRUCTION         </v>
      </c>
      <c r="I986" t="str">
        <f>CLEAN("CONSTRUCTION/PSRS30                ")</f>
        <v xml:space="preserve">CONSTRUCTION/PSRS30                </v>
      </c>
      <c r="J986" t="str">
        <f>CLEAN("STH 064")</f>
        <v>STH 064</v>
      </c>
      <c r="K986" t="str">
        <f>CLEAN("ST. CROIX                     ")</f>
        <v xml:space="preserve">ST. CROIX                     </v>
      </c>
      <c r="L986" t="str">
        <f>CLEAN("STILLWATER - NEW RICHMOND          ")</f>
        <v xml:space="preserve">STILLWATER - NEW RICHMOND          </v>
      </c>
      <c r="M986" t="str">
        <f>CLEAN("STH 35 TO 142ND STREET             ")</f>
        <v xml:space="preserve">STH 35 TO 142ND STREET             </v>
      </c>
      <c r="N986">
        <v>6.7880000000000003</v>
      </c>
      <c r="O986" t="str">
        <f>CLEAN("8080-08-75")</f>
        <v>8080-08-75</v>
      </c>
      <c r="P986" t="str">
        <f t="shared" si="392"/>
        <v xml:space="preserve">STATE 3R                                                                                            </v>
      </c>
    </row>
    <row r="987" spans="1:16" x14ac:dyDescent="0.25">
      <c r="A987" t="str">
        <f t="shared" ref="A987:A1050" si="393">CLEAN("10")</f>
        <v>10</v>
      </c>
      <c r="B987" t="str">
        <f t="shared" si="390"/>
        <v>25</v>
      </c>
      <c r="C987" s="1">
        <v>45972</v>
      </c>
      <c r="D987" t="str">
        <f>CLEAN("8140-00-78")</f>
        <v>8140-00-78</v>
      </c>
      <c r="E987" t="str">
        <f t="shared" si="391"/>
        <v xml:space="preserve">303  </v>
      </c>
      <c r="F987" t="str">
        <f>CLEAN("$5,000,000 - $5,999,999  ")</f>
        <v xml:space="preserve">$5,000,000 - $5,999,999  </v>
      </c>
      <c r="G987" t="str">
        <f>CLEAN("LET")</f>
        <v>LET</v>
      </c>
      <c r="H987" t="str">
        <f>CLEAN("LET CONSTRUCTION         ")</f>
        <v xml:space="preserve">LET CONSTRUCTION         </v>
      </c>
      <c r="I987" t="str">
        <f>CLEAN("CONSTRUCTION - RESURFACE           ")</f>
        <v xml:space="preserve">CONSTRUCTION - RESURFACE           </v>
      </c>
      <c r="J987" t="str">
        <f>CLEAN("STH 027")</f>
        <v>STH 027</v>
      </c>
      <c r="K987" t="str">
        <f>CLEAN("SAWYER                        ")</f>
        <v xml:space="preserve">SAWYER                        </v>
      </c>
      <c r="L987" t="str">
        <f>CLEAN("STONE LAKE - HAYWARD               ")</f>
        <v xml:space="preserve">STONE LAKE - HAYWARD               </v>
      </c>
      <c r="M987" t="str">
        <f>CLEAN("BOYLAN RD TO 700FT N OF CAROL DR   ")</f>
        <v xml:space="preserve">BOYLAN RD TO 700FT N OF CAROL DR   </v>
      </c>
      <c r="N987">
        <v>8.8390000000000004</v>
      </c>
      <c r="O987" t="str">
        <f t="shared" ref="O987:O1017" si="394">CLEAN("          ")</f>
        <v xml:space="preserve">          </v>
      </c>
      <c r="P987" t="str">
        <f t="shared" si="392"/>
        <v xml:space="preserve">STATE 3R                                                                                            </v>
      </c>
    </row>
    <row r="988" spans="1:16" x14ac:dyDescent="0.25">
      <c r="A988" t="str">
        <f t="shared" si="393"/>
        <v>10</v>
      </c>
      <c r="B988" t="str">
        <f t="shared" si="390"/>
        <v>25</v>
      </c>
      <c r="C988" s="1">
        <v>46154</v>
      </c>
      <c r="D988" t="str">
        <f>CLEAN("8150-00-72")</f>
        <v>8150-00-72</v>
      </c>
      <c r="E988" t="str">
        <f t="shared" si="391"/>
        <v xml:space="preserve">303  </v>
      </c>
      <c r="F988" t="str">
        <f>CLEAN("$1,000,000 - $1,999,999  ")</f>
        <v xml:space="preserve">$1,000,000 - $1,999,999  </v>
      </c>
      <c r="G988" t="str">
        <f>CLEAN("LET")</f>
        <v>LET</v>
      </c>
      <c r="H988" t="str">
        <f>CLEAN("LET CONSTRUCTION         ")</f>
        <v xml:space="preserve">LET CONSTRUCTION         </v>
      </c>
      <c r="I988" t="str">
        <f>CLEAN("CONSTRUCTION/BRIDGE NEW            ")</f>
        <v xml:space="preserve">CONSTRUCTION/BRIDGE NEW            </v>
      </c>
      <c r="J988" t="str">
        <f>CLEAN("STH 027")</f>
        <v>STH 027</v>
      </c>
      <c r="K988" t="str">
        <f>CLEAN("DOUGLAS                       ")</f>
        <v xml:space="preserve">DOUGLAS                       </v>
      </c>
      <c r="L988" t="str">
        <f>CLEAN("HAYWARD - BRULE                    ")</f>
        <v xml:space="preserve">HAYWARD - BRULE                    </v>
      </c>
      <c r="M988" t="str">
        <f>CLEAN("SANDY RUN CREEK BRIDGE B-16-0157   ")</f>
        <v xml:space="preserve">SANDY RUN CREEK BRIDGE B-16-0157   </v>
      </c>
      <c r="N988">
        <v>3.1E-2</v>
      </c>
      <c r="O988" t="str">
        <f t="shared" si="394"/>
        <v xml:space="preserve">          </v>
      </c>
      <c r="P988" t="str">
        <f>CLEAN("SHR BRIDGES                                                                                         ")</f>
        <v xml:space="preserve">SHR BRIDGES                                                                                         </v>
      </c>
    </row>
    <row r="989" spans="1:16" x14ac:dyDescent="0.25">
      <c r="A989" t="str">
        <f t="shared" si="393"/>
        <v>10</v>
      </c>
      <c r="B989" t="str">
        <f t="shared" si="390"/>
        <v>25</v>
      </c>
      <c r="C989" s="1">
        <v>46106</v>
      </c>
      <c r="D989" t="str">
        <f>CLEAN("8160-00-43")</f>
        <v>8160-00-43</v>
      </c>
      <c r="E989" t="str">
        <f t="shared" si="391"/>
        <v xml:space="preserve">303  </v>
      </c>
      <c r="F989" t="str">
        <f>CLEAN("$0 - $99,999             ")</f>
        <v xml:space="preserve">$0 - $99,999             </v>
      </c>
      <c r="G989" t="str">
        <f>CLEAN("UTL")</f>
        <v>UTL</v>
      </c>
      <c r="H989" t="str">
        <f>CLEAN("NONLET CONSTR/REAL ESTATE")</f>
        <v>NONLET CONSTR/REAL ESTATE</v>
      </c>
      <c r="I989" t="str">
        <f>CLEAN("UTL/INT 101/BRIGHTSPEED/8160-00-73 ")</f>
        <v xml:space="preserve">UTL/INT 101/BRIGHTSPEED/8160-00-73 </v>
      </c>
      <c r="J989" t="str">
        <f>CLEAN("STH 013")</f>
        <v>STH 013</v>
      </c>
      <c r="K989" t="str">
        <f>CLEAN("BAYFIELD                      ")</f>
        <v xml:space="preserve">BAYFIELD                      </v>
      </c>
      <c r="L989" t="str">
        <f>CLEAN("ASHLAND - BAYFIELD                 ")</f>
        <v xml:space="preserve">ASHLAND - BAYFIELD                 </v>
      </c>
      <c r="M989" t="str">
        <f>CLEAN("LITTLE WHITTLESEY CREEK B-04-0037  ")</f>
        <v xml:space="preserve">LITTLE WHITTLESEY CREEK B-04-0037  </v>
      </c>
      <c r="N989">
        <v>0</v>
      </c>
      <c r="O989" t="str">
        <f t="shared" si="394"/>
        <v xml:space="preserve">          </v>
      </c>
      <c r="P989" t="str">
        <f>CLEAN("SHR BRIDGES                                                                                         ")</f>
        <v xml:space="preserve">SHR BRIDGES                                                                                         </v>
      </c>
    </row>
    <row r="990" spans="1:16" x14ac:dyDescent="0.25">
      <c r="A990" t="str">
        <f t="shared" si="393"/>
        <v>10</v>
      </c>
      <c r="B990" t="str">
        <f t="shared" si="390"/>
        <v>25</v>
      </c>
      <c r="C990" s="1">
        <v>46035</v>
      </c>
      <c r="D990" t="str">
        <f>CLEAN("8160-00-73")</f>
        <v>8160-00-73</v>
      </c>
      <c r="E990" t="str">
        <f t="shared" si="391"/>
        <v xml:space="preserve">303  </v>
      </c>
      <c r="F990" t="str">
        <f>CLEAN("$1,000,000 - $1,999,999  ")</f>
        <v xml:space="preserve">$1,000,000 - $1,999,999  </v>
      </c>
      <c r="G990" t="str">
        <f>CLEAN("LET")</f>
        <v>LET</v>
      </c>
      <c r="H990" t="str">
        <f>CLEAN("LET CONSTRUCTION         ")</f>
        <v xml:space="preserve">LET CONSTRUCTION         </v>
      </c>
      <c r="I990" t="str">
        <f>CLEAN("CONSTRUCTION/BRIDGE REPLACEMENT    ")</f>
        <v xml:space="preserve">CONSTRUCTION/BRIDGE REPLACEMENT    </v>
      </c>
      <c r="J990" t="str">
        <f>CLEAN("STH 013")</f>
        <v>STH 013</v>
      </c>
      <c r="K990" t="str">
        <f>CLEAN("BAYFIELD                      ")</f>
        <v xml:space="preserve">BAYFIELD                      </v>
      </c>
      <c r="L990" t="str">
        <f>CLEAN("ASHLAND - BAYFIELD                 ")</f>
        <v xml:space="preserve">ASHLAND - BAYFIELD                 </v>
      </c>
      <c r="M990" t="str">
        <f>CLEAN("LITTLE WHITTLESEY CREEK B-04-0126  ")</f>
        <v xml:space="preserve">LITTLE WHITTLESEY CREEK B-04-0126  </v>
      </c>
      <c r="N990">
        <v>0.189</v>
      </c>
      <c r="O990" t="str">
        <f t="shared" si="394"/>
        <v xml:space="preserve">          </v>
      </c>
      <c r="P990" t="str">
        <f>CLEAN("SHR BRIDGES                                                                                         ")</f>
        <v xml:space="preserve">SHR BRIDGES                                                                                         </v>
      </c>
    </row>
    <row r="991" spans="1:16" x14ac:dyDescent="0.25">
      <c r="A991" t="str">
        <f t="shared" si="393"/>
        <v>10</v>
      </c>
      <c r="B991" t="str">
        <f t="shared" si="390"/>
        <v>25</v>
      </c>
      <c r="C991" s="1">
        <v>45972</v>
      </c>
      <c r="D991" t="str">
        <f>CLEAN("8160-00-79")</f>
        <v>8160-00-79</v>
      </c>
      <c r="E991" t="str">
        <f t="shared" si="391"/>
        <v xml:space="preserve">303  </v>
      </c>
      <c r="F991" t="str">
        <f>CLEAN("$750,000 - $999,999      ")</f>
        <v xml:space="preserve">$750,000 - $999,999      </v>
      </c>
      <c r="G991" t="str">
        <f>CLEAN("LET")</f>
        <v>LET</v>
      </c>
      <c r="H991" t="str">
        <f>CLEAN("LET CONSTRUCTION         ")</f>
        <v xml:space="preserve">LET CONSTRUCTION         </v>
      </c>
      <c r="I991" t="str">
        <f>CLEAN("CONSTRUCTION/SAFETY                ")</f>
        <v xml:space="preserve">CONSTRUCTION/SAFETY                </v>
      </c>
      <c r="J991" t="str">
        <f>CLEAN("STH 013")</f>
        <v>STH 013</v>
      </c>
      <c r="K991" t="str">
        <f>CLEAN("BAYFIELD                      ")</f>
        <v xml:space="preserve">BAYFIELD                      </v>
      </c>
      <c r="L991" t="str">
        <f>CLEAN("ASHLAND - BAYFIELD                 ")</f>
        <v xml:space="preserve">ASHLAND - BAYFIELD                 </v>
      </c>
      <c r="M991" t="str">
        <f>CLEAN("ENGOE ROAD INTERSECTION            ")</f>
        <v xml:space="preserve">ENGOE ROAD INTERSECTION            </v>
      </c>
      <c r="N991">
        <v>0.372</v>
      </c>
      <c r="O991" t="str">
        <f t="shared" si="394"/>
        <v xml:space="preserve">          </v>
      </c>
      <c r="P991" t="str">
        <f>CLEAN("SAFETY (REGULAR HSIP)                                                                               ")</f>
        <v xml:space="preserve">SAFETY (REGULAR HSIP)                                                                               </v>
      </c>
    </row>
    <row r="992" spans="1:16" x14ac:dyDescent="0.25">
      <c r="A992" t="str">
        <f t="shared" si="393"/>
        <v>10</v>
      </c>
      <c r="B992" t="str">
        <f t="shared" si="390"/>
        <v>25</v>
      </c>
      <c r="C992" s="1">
        <v>45972</v>
      </c>
      <c r="D992" t="str">
        <f>CLEAN("8160-00-79")</f>
        <v>8160-00-79</v>
      </c>
      <c r="E992" t="str">
        <f t="shared" si="391"/>
        <v xml:space="preserve">303  </v>
      </c>
      <c r="F992" t="str">
        <f>CLEAN("$750,000 - $999,999      ")</f>
        <v xml:space="preserve">$750,000 - $999,999      </v>
      </c>
      <c r="G992" t="str">
        <f>CLEAN("LET")</f>
        <v>LET</v>
      </c>
      <c r="H992" t="str">
        <f>CLEAN("LET CONSTRUCTION         ")</f>
        <v xml:space="preserve">LET CONSTRUCTION         </v>
      </c>
      <c r="I992" t="str">
        <f>CLEAN("CONSTRUCTION/SAFETY                ")</f>
        <v xml:space="preserve">CONSTRUCTION/SAFETY                </v>
      </c>
      <c r="J992" t="str">
        <f>CLEAN("STH 013")</f>
        <v>STH 013</v>
      </c>
      <c r="K992" t="str">
        <f>CLEAN("BAYFIELD                      ")</f>
        <v xml:space="preserve">BAYFIELD                      </v>
      </c>
      <c r="L992" t="str">
        <f>CLEAN("ASHLAND - BAYFIELD                 ")</f>
        <v xml:space="preserve">ASHLAND - BAYFIELD                 </v>
      </c>
      <c r="M992" t="str">
        <f>CLEAN("ENGOE ROAD INTERSECTION            ")</f>
        <v xml:space="preserve">ENGOE ROAD INTERSECTION            </v>
      </c>
      <c r="N992">
        <v>0.372</v>
      </c>
      <c r="O992" t="str">
        <f t="shared" si="394"/>
        <v xml:space="preserve">          </v>
      </c>
      <c r="P992" t="str">
        <f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993" spans="1:16" x14ac:dyDescent="0.25">
      <c r="A993" t="str">
        <f t="shared" si="393"/>
        <v>10</v>
      </c>
      <c r="B993" t="str">
        <f t="shared" si="390"/>
        <v>25</v>
      </c>
      <c r="C993" s="1">
        <v>46137</v>
      </c>
      <c r="D993" t="str">
        <f>CLEAN("8180-00-51")</f>
        <v>8180-00-51</v>
      </c>
      <c r="E993" t="str">
        <f t="shared" si="391"/>
        <v xml:space="preserve">303  </v>
      </c>
      <c r="F993" t="str">
        <f>CLEAN("$250,000 - $499,999      ")</f>
        <v xml:space="preserve">$250,000 - $499,999      </v>
      </c>
      <c r="G993" t="str">
        <f>CLEAN("R/R")</f>
        <v>R/R</v>
      </c>
      <c r="H993" t="str">
        <f t="shared" ref="H993:H999" si="395">CLEAN("NONLET CONSTR/REAL ESTATE")</f>
        <v>NONLET CONSTR/REAL ESTATE</v>
      </c>
      <c r="I993" t="str">
        <f>CLEAN("RR OPS/SIGNALS                     ")</f>
        <v xml:space="preserve">RR OPS/SIGNALS                     </v>
      </c>
      <c r="J993" t="str">
        <f>CLEAN("STH 027")</f>
        <v>STH 027</v>
      </c>
      <c r="K993" t="str">
        <f>CLEAN("RUSK                          ")</f>
        <v xml:space="preserve">RUSK                          </v>
      </c>
      <c r="L993" t="str">
        <f>CLEAN("CORNELL - LADYSMITH                ")</f>
        <v xml:space="preserve">CORNELL - LADYSMITH                </v>
      </c>
      <c r="M993" t="str">
        <f>CLEAN("WCL RR XING 691260Y                ")</f>
        <v xml:space="preserve">WCL RR XING 691260Y                </v>
      </c>
      <c r="N993">
        <v>0</v>
      </c>
      <c r="O993" t="str">
        <f t="shared" si="394"/>
        <v xml:space="preserve">          </v>
      </c>
      <c r="P993" t="str">
        <f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994" spans="1:16" x14ac:dyDescent="0.25">
      <c r="A994" t="str">
        <f t="shared" si="393"/>
        <v>10</v>
      </c>
      <c r="B994" t="str">
        <f t="shared" si="390"/>
        <v>25</v>
      </c>
      <c r="C994" s="1">
        <v>46137</v>
      </c>
      <c r="D994" t="str">
        <f>CLEAN("8180-00-52")</f>
        <v>8180-00-52</v>
      </c>
      <c r="E994" t="str">
        <f t="shared" si="391"/>
        <v xml:space="preserve">303  </v>
      </c>
      <c r="F994" t="str">
        <f>CLEAN("$100,000-$249,999        ")</f>
        <v xml:space="preserve">$100,000-$249,999        </v>
      </c>
      <c r="G994" t="str">
        <f>CLEAN("R/R")</f>
        <v>R/R</v>
      </c>
      <c r="H994" t="str">
        <f t="shared" si="395"/>
        <v>NONLET CONSTR/REAL ESTATE</v>
      </c>
      <c r="I994" t="str">
        <f>CLEAN("RR OPS/CROSSING SURFACE REPLACEMENT")</f>
        <v>RR OPS/CROSSING SURFACE REPLACEMENT</v>
      </c>
      <c r="J994" t="str">
        <f>CLEAN("STH 027")</f>
        <v>STH 027</v>
      </c>
      <c r="K994" t="str">
        <f>CLEAN("RUSK                          ")</f>
        <v xml:space="preserve">RUSK                          </v>
      </c>
      <c r="L994" t="str">
        <f>CLEAN("CORNELL - LADYSMITH                ")</f>
        <v xml:space="preserve">CORNELL - LADYSMITH                </v>
      </c>
      <c r="M994" t="str">
        <f>CLEAN("WCL RR XING 691260Y                ")</f>
        <v xml:space="preserve">WCL RR XING 691260Y                </v>
      </c>
      <c r="N994">
        <v>0</v>
      </c>
      <c r="O994" t="str">
        <f t="shared" si="394"/>
        <v xml:space="preserve">          </v>
      </c>
      <c r="P994" t="str">
        <f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995" spans="1:16" x14ac:dyDescent="0.25">
      <c r="A995" t="str">
        <f t="shared" si="393"/>
        <v>10</v>
      </c>
      <c r="B995" t="str">
        <f t="shared" si="390"/>
        <v>25</v>
      </c>
      <c r="C995" s="1">
        <v>45986</v>
      </c>
      <c r="D995" t="str">
        <f>CLEAN("8200-00-21")</f>
        <v>8200-00-21</v>
      </c>
      <c r="E995" t="str">
        <f t="shared" si="391"/>
        <v xml:space="preserve">303  </v>
      </c>
      <c r="F995" t="str">
        <f>CLEAN("$0 - $99,999             ")</f>
        <v xml:space="preserve">$0 - $99,999             </v>
      </c>
      <c r="G995" t="str">
        <f>CLEAN("R/E")</f>
        <v>R/E</v>
      </c>
      <c r="H995" t="str">
        <f t="shared" si="395"/>
        <v>NONLET CONSTR/REAL ESTATE</v>
      </c>
      <c r="I995" t="str">
        <f>CLEAN("REAL ESTATE ACQUISITION/8200-00-71 ")</f>
        <v xml:space="preserve">REAL ESTATE ACQUISITION/8200-00-71 </v>
      </c>
      <c r="J995" t="str">
        <f>CLEAN("STH 027")</f>
        <v>STH 027</v>
      </c>
      <c r="K995" t="str">
        <f>CLEAN("CHIPPEWA                      ")</f>
        <v xml:space="preserve">CHIPPEWA                      </v>
      </c>
      <c r="L995" t="str">
        <f>CLEAN("CADOTT - CORNELL                   ")</f>
        <v xml:space="preserve">CADOTT - CORNELL                   </v>
      </c>
      <c r="M995" t="str">
        <f>CLEAN("STH 29 TO JOHNSON ROAD             ")</f>
        <v xml:space="preserve">STH 29 TO JOHNSON ROAD             </v>
      </c>
      <c r="N995">
        <v>15.56</v>
      </c>
      <c r="O995" t="str">
        <f t="shared" si="394"/>
        <v xml:space="preserve">          </v>
      </c>
      <c r="P995" t="str">
        <f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996" spans="1:16" x14ac:dyDescent="0.25">
      <c r="A996" t="str">
        <f t="shared" si="393"/>
        <v>10</v>
      </c>
      <c r="B996" t="str">
        <f t="shared" si="390"/>
        <v>25</v>
      </c>
      <c r="C996" s="1">
        <v>45986</v>
      </c>
      <c r="D996" t="str">
        <f>CLEAN("8210-01-22")</f>
        <v>8210-01-22</v>
      </c>
      <c r="E996" t="str">
        <f t="shared" si="391"/>
        <v xml:space="preserve">303  </v>
      </c>
      <c r="F996" t="str">
        <f>CLEAN("$0 - $99,999             ")</f>
        <v xml:space="preserve">$0 - $99,999             </v>
      </c>
      <c r="G996" t="str">
        <f>CLEAN("R/E")</f>
        <v>R/E</v>
      </c>
      <c r="H996" t="str">
        <f t="shared" si="395"/>
        <v>NONLET CONSTR/REAL ESTATE</v>
      </c>
      <c r="I996" t="str">
        <f>CLEAN("REAL ESTATE ACQUISITION            ")</f>
        <v xml:space="preserve">REAL ESTATE ACQUISITION            </v>
      </c>
      <c r="J996" t="str">
        <f>CLEAN("STH 073")</f>
        <v>STH 073</v>
      </c>
      <c r="K996" t="str">
        <f>CLEAN("RUSK                          ")</f>
        <v xml:space="preserve">RUSK                          </v>
      </c>
      <c r="L996" t="str">
        <f>CLEAN("THORP - INGRAM                     ")</f>
        <v xml:space="preserve">THORP - INGRAM                     </v>
      </c>
      <c r="M996" t="str">
        <f>CLEAN("CRAZY HORSE CREEK BRIDGE B-54-0744 ")</f>
        <v xml:space="preserve">CRAZY HORSE CREEK BRIDGE B-54-0744 </v>
      </c>
      <c r="N996">
        <v>0</v>
      </c>
      <c r="O996" t="str">
        <f t="shared" si="394"/>
        <v xml:space="preserve">          </v>
      </c>
      <c r="P996" t="str">
        <f>CLEAN("SHR BRIDGES                                                                                         ")</f>
        <v xml:space="preserve">SHR BRIDGES                                                                                         </v>
      </c>
    </row>
    <row r="997" spans="1:16" x14ac:dyDescent="0.25">
      <c r="A997" t="str">
        <f t="shared" si="393"/>
        <v>10</v>
      </c>
      <c r="B997" t="str">
        <f t="shared" si="390"/>
        <v>25</v>
      </c>
      <c r="C997" s="1">
        <v>45925</v>
      </c>
      <c r="D997" t="str">
        <f>CLEAN("8210-08-26")</f>
        <v>8210-08-26</v>
      </c>
      <c r="E997" t="str">
        <f t="shared" si="391"/>
        <v xml:space="preserve">303  </v>
      </c>
      <c r="F997" t="str">
        <f>CLEAN("$0 - $99,999             ")</f>
        <v xml:space="preserve">$0 - $99,999             </v>
      </c>
      <c r="G997" t="str">
        <f>CLEAN("R/E")</f>
        <v>R/E</v>
      </c>
      <c r="H997" t="str">
        <f t="shared" si="395"/>
        <v>NONLET CONSTR/REAL ESTATE</v>
      </c>
      <c r="I997" t="str">
        <f>CLEAN("REAL ESTATE ACQUISITION            ")</f>
        <v xml:space="preserve">REAL ESTATE ACQUISITION            </v>
      </c>
      <c r="J997" t="str">
        <f>CLEAN("STH 073")</f>
        <v>STH 073</v>
      </c>
      <c r="K997" t="str">
        <f>CLEAN("TAYLOR                        ")</f>
        <v xml:space="preserve">TAYLOR                        </v>
      </c>
      <c r="L997" t="str">
        <f>CLEAN("THORP - INGRAM                     ")</f>
        <v xml:space="preserve">THORP - INGRAM                     </v>
      </c>
      <c r="M997" t="str">
        <f>CLEAN("FISHER RIVER CULVERT C-60-0803     ")</f>
        <v xml:space="preserve">FISHER RIVER CULVERT C-60-0803     </v>
      </c>
      <c r="N997">
        <v>1.2999999999999999E-2</v>
      </c>
      <c r="O997" t="str">
        <f t="shared" si="394"/>
        <v xml:space="preserve">          </v>
      </c>
      <c r="P997" t="str">
        <f>CLEAN("SHR BRIDGES                                                                                         ")</f>
        <v xml:space="preserve">SHR BRIDGES                                                                                         </v>
      </c>
    </row>
    <row r="998" spans="1:16" x14ac:dyDescent="0.25">
      <c r="A998" t="str">
        <f t="shared" si="393"/>
        <v>10</v>
      </c>
      <c r="B998" t="str">
        <f t="shared" si="390"/>
        <v>25</v>
      </c>
      <c r="C998" s="1">
        <v>46198</v>
      </c>
      <c r="D998" t="str">
        <f>CLEAN("8220-00-56")</f>
        <v>8220-00-56</v>
      </c>
      <c r="E998" t="str">
        <f t="shared" si="391"/>
        <v xml:space="preserve">303  </v>
      </c>
      <c r="F998" t="str">
        <f>CLEAN("$250,000 - $499,999      ")</f>
        <v xml:space="preserve">$250,000 - $499,999      </v>
      </c>
      <c r="G998" t="str">
        <f>CLEAN("R/R")</f>
        <v>R/R</v>
      </c>
      <c r="H998" t="str">
        <f t="shared" si="395"/>
        <v>NONLET CONSTR/REAL ESTATE</v>
      </c>
      <c r="I998" t="str">
        <f>CLEAN("RR OPS/SIGNAL UPGRADE &amp; INSTALL    ")</f>
        <v xml:space="preserve">RR OPS/SIGNAL UPGRADE &amp; INSTALL    </v>
      </c>
      <c r="J998" t="str">
        <f>CLEAN("STH 064")</f>
        <v>STH 064</v>
      </c>
      <c r="K998" t="str">
        <f>CLEAN("TAYLOR                        ")</f>
        <v xml:space="preserve">TAYLOR                        </v>
      </c>
      <c r="L998" t="str">
        <f>CLEAN("GILMAN - MEDFORD                   ")</f>
        <v xml:space="preserve">GILMAN - MEDFORD                   </v>
      </c>
      <c r="M998" t="str">
        <f>CLEAN("WISCONSIN CENTRAL LTD 699488B      ")</f>
        <v xml:space="preserve">WISCONSIN CENTRAL LTD 699488B      </v>
      </c>
      <c r="N998">
        <v>5.0000000000000001E-3</v>
      </c>
      <c r="O998" t="str">
        <f t="shared" si="394"/>
        <v xml:space="preserve">          </v>
      </c>
      <c r="P998" t="str">
        <f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999" spans="1:16" x14ac:dyDescent="0.25">
      <c r="A999" t="str">
        <f t="shared" si="393"/>
        <v>10</v>
      </c>
      <c r="B999" t="str">
        <f t="shared" si="390"/>
        <v>25</v>
      </c>
      <c r="C999" s="1">
        <v>45894</v>
      </c>
      <c r="D999" t="str">
        <f>CLEAN("8220-00-61")</f>
        <v>8220-00-61</v>
      </c>
      <c r="E999" t="str">
        <f t="shared" si="391"/>
        <v xml:space="preserve">303  </v>
      </c>
      <c r="F999" t="str">
        <f>CLEAN("$0 - $99,999             ")</f>
        <v xml:space="preserve">$0 - $99,999             </v>
      </c>
      <c r="G999" t="str">
        <f>CLEAN("LFA")</f>
        <v>LFA</v>
      </c>
      <c r="H999" t="str">
        <f t="shared" si="395"/>
        <v>NONLET CONSTR/REAL ESTATE</v>
      </c>
      <c r="I999" t="str">
        <f>CLEAN("CONSTR-LFA/CULVERT REPLACEMENT     ")</f>
        <v xml:space="preserve">CONSTR-LFA/CULVERT REPLACEMENT     </v>
      </c>
      <c r="J999" t="str">
        <f>CLEAN("STH 064")</f>
        <v>STH 064</v>
      </c>
      <c r="K999" t="str">
        <f>CLEAN("TAYLOR                        ")</f>
        <v xml:space="preserve">TAYLOR                        </v>
      </c>
      <c r="L999" t="str">
        <f>CLEAN("GILMAN - MEDFORD                   ")</f>
        <v xml:space="preserve">GILMAN - MEDFORD                   </v>
      </c>
      <c r="M999" t="str">
        <f>CLEAN("RAILROAD AVE TO CTH E              ")</f>
        <v xml:space="preserve">RAILROAD AVE TO CTH E              </v>
      </c>
      <c r="N999">
        <v>22.202999999999999</v>
      </c>
      <c r="O999" t="str">
        <f t="shared" si="394"/>
        <v xml:space="preserve">          </v>
      </c>
      <c r="P999" t="str">
        <f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1000" spans="1:16" x14ac:dyDescent="0.25">
      <c r="A1000" t="str">
        <f t="shared" si="393"/>
        <v>10</v>
      </c>
      <c r="B1000" t="str">
        <f t="shared" si="390"/>
        <v>25</v>
      </c>
      <c r="C1000" s="1">
        <v>46000</v>
      </c>
      <c r="D1000" t="str">
        <f>CLEAN("8311-00-70")</f>
        <v>8311-00-70</v>
      </c>
      <c r="E1000" t="str">
        <f>CLEAN("205  ")</f>
        <v xml:space="preserve">205  </v>
      </c>
      <c r="F1000" t="str">
        <f>CLEAN("$500,000 - $749,999      ")</f>
        <v xml:space="preserve">$500,000 - $749,999      </v>
      </c>
      <c r="G1000" t="str">
        <f>CLEAN("LET")</f>
        <v>LET</v>
      </c>
      <c r="H1000" t="str">
        <f>CLEAN("LET CONSTRUCTION         ")</f>
        <v xml:space="preserve">LET CONSTRUCTION         </v>
      </c>
      <c r="I1000" t="str">
        <f>CLEAN("CONSTRUCTION/BRRPL                 ")</f>
        <v xml:space="preserve">CONSTRUCTION/BRRPL                 </v>
      </c>
      <c r="J1000" t="str">
        <f>CLEAN("LOC STR")</f>
        <v>LOC STR</v>
      </c>
      <c r="K1000" t="str">
        <f>CLEAN("BARRON                        ")</f>
        <v xml:space="preserve">BARRON                        </v>
      </c>
      <c r="L1000" t="str">
        <f>CLEAN("T ALMENA, 15 1/2 AVENUE            ")</f>
        <v xml:space="preserve">T ALMENA, 15 1/2 AVENUE            </v>
      </c>
      <c r="M1000" t="str">
        <f>CLEAN("LIGHTNING CREEK BRIDGE B-03-0221   ")</f>
        <v xml:space="preserve">LIGHTNING CREEK BRIDGE B-03-0221   </v>
      </c>
      <c r="N1000">
        <v>4.7E-2</v>
      </c>
      <c r="O1000" t="str">
        <f t="shared" si="394"/>
        <v xml:space="preserve">          </v>
      </c>
      <c r="P1000" t="str">
        <f>CLEAN("LOCAL BRIDGES                                                                                       ")</f>
        <v xml:space="preserve">LOCAL BRIDGES                                                                                       </v>
      </c>
    </row>
    <row r="1001" spans="1:16" x14ac:dyDescent="0.25">
      <c r="A1001" t="str">
        <f t="shared" si="393"/>
        <v>10</v>
      </c>
      <c r="B1001" t="str">
        <f t="shared" si="390"/>
        <v>25</v>
      </c>
      <c r="C1001" s="1">
        <v>45986</v>
      </c>
      <c r="D1001" t="str">
        <f>CLEAN("8345-00-71")</f>
        <v>8345-00-71</v>
      </c>
      <c r="E1001" t="str">
        <f>CLEAN("209  ")</f>
        <v xml:space="preserve">209  </v>
      </c>
      <c r="F1001" t="str">
        <f>CLEAN("$500,000 - $749,999      ")</f>
        <v xml:space="preserve">$500,000 - $749,999      </v>
      </c>
      <c r="G1001" t="str">
        <f>CLEAN("LLC")</f>
        <v>LLC</v>
      </c>
      <c r="H1001" t="str">
        <f>CLEAN("NONLET CONSTR/REAL ESTATE")</f>
        <v>NONLET CONSTR/REAL ESTATE</v>
      </c>
      <c r="I1001" t="str">
        <f>CLEAN("CONST/TEA/RECONSTRUCTION           ")</f>
        <v xml:space="preserve">CONST/TEA/RECONSTRUCTION           </v>
      </c>
      <c r="J1001" t="str">
        <f>CLEAN("LOC STR")</f>
        <v>LOC STR</v>
      </c>
      <c r="K1001" t="str">
        <f>CLEAN("BAYFIELD                      ")</f>
        <v xml:space="preserve">BAYFIELD                      </v>
      </c>
      <c r="L1001" t="str">
        <f>CLEAN("BAYFIELD COUNTY, ARGANBRIGHT RD    ")</f>
        <v xml:space="preserve">BAYFIELD COUNTY, ARGANBRIGHT RD    </v>
      </c>
      <c r="M1001" t="str">
        <f>CLEAN("RITOLA, INC                        ")</f>
        <v xml:space="preserve">RITOLA, INC                        </v>
      </c>
      <c r="N1001">
        <v>0.03</v>
      </c>
      <c r="O1001" t="str">
        <f t="shared" si="394"/>
        <v xml:space="preserve">          </v>
      </c>
      <c r="P1001" t="str">
        <f>CLEAN("TRANS ECONOMIC ASSISTANCE (TEA)                                                                     ")</f>
        <v xml:space="preserve">TRANS ECONOMIC ASSISTANCE (TEA)                                                                     </v>
      </c>
    </row>
    <row r="1002" spans="1:16" x14ac:dyDescent="0.25">
      <c r="A1002" t="str">
        <f t="shared" si="393"/>
        <v>10</v>
      </c>
      <c r="B1002" t="str">
        <f t="shared" si="390"/>
        <v>25</v>
      </c>
      <c r="C1002" s="1">
        <v>45944</v>
      </c>
      <c r="D1002" t="str">
        <f>CLEAN("8386-00-72")</f>
        <v>8386-00-72</v>
      </c>
      <c r="E1002" t="str">
        <f>CLEAN("205  ")</f>
        <v xml:space="preserve">205  </v>
      </c>
      <c r="F1002" t="str">
        <f>CLEAN("$750,000 - $999,999      ")</f>
        <v xml:space="preserve">$750,000 - $999,999      </v>
      </c>
      <c r="G1002" t="str">
        <f t="shared" ref="G1002:G1010" si="396">CLEAN("LET")</f>
        <v>LET</v>
      </c>
      <c r="H1002" t="str">
        <f t="shared" ref="H1002:H1010" si="397">CLEAN("LET CONSTRUCTION         ")</f>
        <v xml:space="preserve">LET CONSTRUCTION         </v>
      </c>
      <c r="I1002" t="str">
        <f>CLEAN("CONSTRUCTION/BRIDGE REPLACEMENT    ")</f>
        <v xml:space="preserve">CONSTRUCTION/BRIDGE REPLACEMENT    </v>
      </c>
      <c r="J1002" t="str">
        <f>CLEAN("LOC STR")</f>
        <v>LOC STR</v>
      </c>
      <c r="K1002" t="str">
        <f>CLEAN("DOUGLAS                       ")</f>
        <v xml:space="preserve">DOUGLAS                       </v>
      </c>
      <c r="L1002" t="str">
        <f>CLEAN("T GORDON, WEST MAIL ROAD           ")</f>
        <v xml:space="preserve">T GORDON, WEST MAIL ROAD           </v>
      </c>
      <c r="M1002" t="str">
        <f>CLEAN("ST CROIX RIVER BRIDGE B-16-0147    ")</f>
        <v xml:space="preserve">ST CROIX RIVER BRIDGE B-16-0147    </v>
      </c>
      <c r="N1002">
        <v>8.5000000000000006E-2</v>
      </c>
      <c r="O1002" t="str">
        <f t="shared" si="394"/>
        <v xml:space="preserve">          </v>
      </c>
      <c r="P1002" t="str">
        <f>CLEAN("LOCAL BRIDGES                                                                                       ")</f>
        <v xml:space="preserve">LOCAL BRIDGES                                                                                       </v>
      </c>
    </row>
    <row r="1003" spans="1:16" x14ac:dyDescent="0.25">
      <c r="A1003" t="str">
        <f t="shared" si="393"/>
        <v>10</v>
      </c>
      <c r="B1003" t="str">
        <f t="shared" si="390"/>
        <v>25</v>
      </c>
      <c r="C1003" s="1">
        <v>46091</v>
      </c>
      <c r="D1003" t="str">
        <f>CLEAN("8394-00-73")</f>
        <v>8394-00-73</v>
      </c>
      <c r="E1003" t="str">
        <f>CLEAN("205  ")</f>
        <v xml:space="preserve">205  </v>
      </c>
      <c r="F1003" t="str">
        <f>CLEAN("$250,000 - $499,999      ")</f>
        <v xml:space="preserve">$250,000 - $499,999      </v>
      </c>
      <c r="G1003" t="str">
        <f t="shared" si="396"/>
        <v>LET</v>
      </c>
      <c r="H1003" t="str">
        <f t="shared" si="397"/>
        <v xml:space="preserve">LET CONSTRUCTION         </v>
      </c>
      <c r="I1003" t="str">
        <f>CLEAN("CONSTRUCTION/BRIDGE REPLACEMENT    ")</f>
        <v xml:space="preserve">CONSTRUCTION/BRIDGE REPLACEMENT    </v>
      </c>
      <c r="J1003" t="str">
        <f>CLEAN("LOC STR")</f>
        <v>LOC STR</v>
      </c>
      <c r="K1003" t="str">
        <f>CLEAN("DOUGLAS                       ")</f>
        <v xml:space="preserve">DOUGLAS                       </v>
      </c>
      <c r="L1003" t="str">
        <f>CLEAN("T SUMMIT, PATZAU FOXBORO ROAD      ")</f>
        <v xml:space="preserve">T SUMMIT, PATZAU FOXBORO ROAD      </v>
      </c>
      <c r="M1003" t="str">
        <f>CLEAN("BALSAM CREEK BRIDGE B-16-0151      ")</f>
        <v xml:space="preserve">BALSAM CREEK BRIDGE B-16-0151      </v>
      </c>
      <c r="N1003">
        <v>0</v>
      </c>
      <c r="O1003" t="str">
        <f t="shared" si="394"/>
        <v xml:space="preserve">          </v>
      </c>
      <c r="P1003" t="str">
        <f>CLEAN("LOCAL BRIDGES                                                                                       ")</f>
        <v xml:space="preserve">LOCAL BRIDGES                                                                                       </v>
      </c>
    </row>
    <row r="1004" spans="1:16" x14ac:dyDescent="0.25">
      <c r="A1004" t="str">
        <f t="shared" si="393"/>
        <v>10</v>
      </c>
      <c r="B1004" t="str">
        <f t="shared" si="390"/>
        <v>25</v>
      </c>
      <c r="C1004" s="1">
        <v>46091</v>
      </c>
      <c r="D1004" t="str">
        <f>CLEAN("8405-00-72")</f>
        <v>8405-00-72</v>
      </c>
      <c r="E1004" t="str">
        <f>CLEAN("205  ")</f>
        <v xml:space="preserve">205  </v>
      </c>
      <c r="F1004" t="str">
        <f>CLEAN("$250,000 - $499,999      ")</f>
        <v xml:space="preserve">$250,000 - $499,999      </v>
      </c>
      <c r="G1004" t="str">
        <f t="shared" si="396"/>
        <v>LET</v>
      </c>
      <c r="H1004" t="str">
        <f t="shared" si="397"/>
        <v xml:space="preserve">LET CONSTRUCTION         </v>
      </c>
      <c r="I1004" t="str">
        <f>CLEAN("CONSTRUCTION/BRIDGE REPLACEMENT    ")</f>
        <v xml:space="preserve">CONSTRUCTION/BRIDGE REPLACEMENT    </v>
      </c>
      <c r="J1004" t="str">
        <f>CLEAN("LOC STR")</f>
        <v>LOC STR</v>
      </c>
      <c r="K1004" t="str">
        <f>CLEAN("POLK                          ")</f>
        <v xml:space="preserve">POLK                          </v>
      </c>
      <c r="L1004" t="str">
        <f>CLEAN("T CLEAR LAKE, 30TH STREET          ")</f>
        <v xml:space="preserve">T CLEAR LAKE, 30TH STREET          </v>
      </c>
      <c r="M1004" t="str">
        <f>CLEAN("WILLOW RIVER BRIDGE B-48-0061      ")</f>
        <v xml:space="preserve">WILLOW RIVER BRIDGE B-48-0061      </v>
      </c>
      <c r="N1004">
        <v>0</v>
      </c>
      <c r="O1004" t="str">
        <f t="shared" si="394"/>
        <v xml:space="preserve">          </v>
      </c>
      <c r="P1004" t="str">
        <f>CLEAN("LOCAL BRIDGES                                                                                       ")</f>
        <v xml:space="preserve">LOCAL BRIDGES                                                                                       </v>
      </c>
    </row>
    <row r="1005" spans="1:16" x14ac:dyDescent="0.25">
      <c r="A1005" t="str">
        <f t="shared" si="393"/>
        <v>10</v>
      </c>
      <c r="B1005" t="str">
        <f t="shared" si="390"/>
        <v>25</v>
      </c>
      <c r="C1005" s="1">
        <v>46063</v>
      </c>
      <c r="D1005" t="str">
        <f>CLEAN("8460-00-70")</f>
        <v>8460-00-70</v>
      </c>
      <c r="E1005" t="str">
        <f>CLEAN("205  ")</f>
        <v xml:space="preserve">205  </v>
      </c>
      <c r="F1005" t="str">
        <f>CLEAN("$1,000,000 - $1,999,999  ")</f>
        <v xml:space="preserve">$1,000,000 - $1,999,999  </v>
      </c>
      <c r="G1005" t="str">
        <f t="shared" si="396"/>
        <v>LET</v>
      </c>
      <c r="H1005" t="str">
        <f t="shared" si="397"/>
        <v xml:space="preserve">LET CONSTRUCTION         </v>
      </c>
      <c r="I1005" t="str">
        <f>CLEAN("CONSTRUCTION/BRRHB/DECK REPLACMENT ")</f>
        <v xml:space="preserve">CONSTRUCTION/BRRHB/DECK REPLACMENT </v>
      </c>
      <c r="J1005" t="str">
        <f>CLEAN("CTH D  ")</f>
        <v xml:space="preserve">CTH D  </v>
      </c>
      <c r="K1005" t="str">
        <f>CLEAN("SAWYER                        ")</f>
        <v xml:space="preserve">SAWYER                        </v>
      </c>
      <c r="L1005" t="str">
        <f>CLEAN("STH 40 - STH 27                    ")</f>
        <v xml:space="preserve">STH 40 - STH 27                    </v>
      </c>
      <c r="M1005" t="str">
        <f>CLEAN("CHIPPEWA RIVER BRIDGE B-57-0018    ")</f>
        <v xml:space="preserve">CHIPPEWA RIVER BRIDGE B-57-0018    </v>
      </c>
      <c r="N1005">
        <v>0</v>
      </c>
      <c r="O1005" t="str">
        <f t="shared" si="394"/>
        <v xml:space="preserve">          </v>
      </c>
      <c r="P1005" t="str">
        <f>CLEAN("LOCAL BRIDGES                                                                                       ")</f>
        <v xml:space="preserve">LOCAL BRIDGES                                                                                       </v>
      </c>
    </row>
    <row r="1006" spans="1:16" x14ac:dyDescent="0.25">
      <c r="A1006" t="str">
        <f t="shared" si="393"/>
        <v>10</v>
      </c>
      <c r="B1006" t="str">
        <f t="shared" si="390"/>
        <v>25</v>
      </c>
      <c r="C1006" s="1">
        <v>46154</v>
      </c>
      <c r="D1006" t="str">
        <f>CLEAN("8510-00-76")</f>
        <v>8510-00-76</v>
      </c>
      <c r="E1006" t="str">
        <f>CLEAN("303  ")</f>
        <v xml:space="preserve">303  </v>
      </c>
      <c r="F1006" t="str">
        <f>CLEAN("$3,000,000 - $3,999,999  ")</f>
        <v xml:space="preserve">$3,000,000 - $3,999,999  </v>
      </c>
      <c r="G1006" t="str">
        <f t="shared" si="396"/>
        <v>LET</v>
      </c>
      <c r="H1006" t="str">
        <f t="shared" si="397"/>
        <v xml:space="preserve">LET CONSTRUCTION         </v>
      </c>
      <c r="I1006" t="str">
        <f>CLEAN("CONST/SHORELINE RPR WAYSIDE OVLK   ")</f>
        <v xml:space="preserve">CONST/SHORELINE RPR WAYSIDE OVLK   </v>
      </c>
      <c r="J1006" t="str">
        <f>CLEAN("STH 013")</f>
        <v>STH 013</v>
      </c>
      <c r="K1006" t="str">
        <f>CLEAN("BAYFIELD                      ")</f>
        <v xml:space="preserve">BAYFIELD                      </v>
      </c>
      <c r="L1006" t="str">
        <f>CLEAN("PORT WING - SUPERIOR               ")</f>
        <v xml:space="preserve">PORT WING - SUPERIOR               </v>
      </c>
      <c r="M1006" t="str">
        <f>CLEAN(".48 MILES W OF AIRPORT RD          ")</f>
        <v xml:space="preserve">.48 MILES W OF AIRPORT RD          </v>
      </c>
      <c r="N1006">
        <v>0</v>
      </c>
      <c r="O1006" t="str">
        <f t="shared" si="394"/>
        <v xml:space="preserve">          </v>
      </c>
      <c r="P1006" t="str">
        <f>CLEAN("ROADSIDE FACILITIES                                                                                 ")</f>
        <v xml:space="preserve">ROADSIDE FACILITIES                                                                                 </v>
      </c>
    </row>
    <row r="1007" spans="1:16" x14ac:dyDescent="0.25">
      <c r="A1007" t="str">
        <f t="shared" si="393"/>
        <v>10</v>
      </c>
      <c r="B1007" t="str">
        <f t="shared" si="390"/>
        <v>25</v>
      </c>
      <c r="C1007" s="1">
        <v>45944</v>
      </c>
      <c r="D1007" t="str">
        <f>CLEAN("8520-00-71")</f>
        <v>8520-00-71</v>
      </c>
      <c r="E1007" t="str">
        <f>CLEAN("303  ")</f>
        <v xml:space="preserve">303  </v>
      </c>
      <c r="F1007" t="str">
        <f>CLEAN("$3,000,000 - $3,999,999  ")</f>
        <v xml:space="preserve">$3,000,000 - $3,999,999  </v>
      </c>
      <c r="G1007" t="str">
        <f t="shared" si="396"/>
        <v>LET</v>
      </c>
      <c r="H1007" t="str">
        <f t="shared" si="397"/>
        <v xml:space="preserve">LET CONSTRUCTION         </v>
      </c>
      <c r="I1007" t="str">
        <f>CLEAN("CONSTRUCTION/RESURFACE             ")</f>
        <v xml:space="preserve">CONSTRUCTION/RESURFACE             </v>
      </c>
      <c r="J1007" t="str">
        <f>CLEAN("STH 077")</f>
        <v>STH 077</v>
      </c>
      <c r="K1007" t="str">
        <f>CLEAN("ASHLAND                       ")</f>
        <v xml:space="preserve">ASHLAND                       </v>
      </c>
      <c r="L1007" t="str">
        <f>CLEAN("MELLEN - HURLEY                    ")</f>
        <v xml:space="preserve">MELLEN - HURLEY                    </v>
      </c>
      <c r="M1007" t="str">
        <f>CLEAN("STH 13 TO EAST COUNTY LINE         ")</f>
        <v xml:space="preserve">STH 13 TO EAST COUNTY LINE         </v>
      </c>
      <c r="N1007">
        <v>5.6859999999999999</v>
      </c>
      <c r="O1007" t="str">
        <f t="shared" si="394"/>
        <v xml:space="preserve">          </v>
      </c>
      <c r="P1007" t="str">
        <f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1008" spans="1:16" x14ac:dyDescent="0.25">
      <c r="A1008" t="str">
        <f t="shared" si="393"/>
        <v>10</v>
      </c>
      <c r="B1008" t="str">
        <f t="shared" si="390"/>
        <v>25</v>
      </c>
      <c r="C1008" s="1">
        <v>46091</v>
      </c>
      <c r="D1008" t="str">
        <f>CLEAN("8530-00-74")</f>
        <v>8530-00-74</v>
      </c>
      <c r="E1008" t="str">
        <f>CLEAN("206  ")</f>
        <v xml:space="preserve">206  </v>
      </c>
      <c r="F1008" t="str">
        <f>CLEAN("$1,000,000 - $1,999,999  ")</f>
        <v xml:space="preserve">$1,000,000 - $1,999,999  </v>
      </c>
      <c r="G1008" t="str">
        <f t="shared" si="396"/>
        <v>LET</v>
      </c>
      <c r="H1008" t="str">
        <f t="shared" si="397"/>
        <v xml:space="preserve">LET CONSTRUCTION         </v>
      </c>
      <c r="I1008" t="str">
        <f>CLEAN("CONSTRUCTION/RESURFACING - FLAP    ")</f>
        <v xml:space="preserve">CONSTRUCTION/RESURFACING - FLAP    </v>
      </c>
      <c r="J1008" t="str">
        <f>CLEAN("CTH GG ")</f>
        <v xml:space="preserve">CTH GG </v>
      </c>
      <c r="K1008" t="str">
        <f>CLEAN("ASHLAND                       ")</f>
        <v xml:space="preserve">ASHLAND                       </v>
      </c>
      <c r="L1008" t="str">
        <f>CLEAN("CLAM LAKE - MELLEN                 ")</f>
        <v xml:space="preserve">CLAM LAKE - MELLEN                 </v>
      </c>
      <c r="M1008" t="str">
        <f>CLEAN("CTH M TO SPIDER CREEK              ")</f>
        <v xml:space="preserve">CTH M TO SPIDER CREEK              </v>
      </c>
      <c r="N1008">
        <v>7.08</v>
      </c>
      <c r="O1008" t="str">
        <f t="shared" si="394"/>
        <v xml:space="preserve">          </v>
      </c>
      <c r="P1008" t="str">
        <f>CLEAN("FOREST HWYS/PUBLIC LANDS/FLAP                                                                       ")</f>
        <v xml:space="preserve">FOREST HWYS/PUBLIC LANDS/FLAP                                                                       </v>
      </c>
    </row>
    <row r="1009" spans="1:16" x14ac:dyDescent="0.25">
      <c r="A1009" t="str">
        <f t="shared" si="393"/>
        <v>10</v>
      </c>
      <c r="B1009" t="str">
        <f t="shared" si="390"/>
        <v>25</v>
      </c>
      <c r="C1009" s="1">
        <v>45944</v>
      </c>
      <c r="D1009" t="str">
        <f>CLEAN("8530-00-75")</f>
        <v>8530-00-75</v>
      </c>
      <c r="E1009" t="str">
        <f>CLEAN("205  ")</f>
        <v xml:space="preserve">205  </v>
      </c>
      <c r="F1009" t="str">
        <f>CLEAN("$500,000 - $749,999      ")</f>
        <v xml:space="preserve">$500,000 - $749,999      </v>
      </c>
      <c r="G1009" t="str">
        <f t="shared" si="396"/>
        <v>LET</v>
      </c>
      <c r="H1009" t="str">
        <f t="shared" si="397"/>
        <v xml:space="preserve">LET CONSTRUCTION         </v>
      </c>
      <c r="I1009" t="str">
        <f>CLEAN("CONSTRUCTION/BRRPL                 ")</f>
        <v xml:space="preserve">CONSTRUCTION/BRRPL                 </v>
      </c>
      <c r="J1009" t="str">
        <f>CLEAN("CTH GG ")</f>
        <v xml:space="preserve">CTH GG </v>
      </c>
      <c r="K1009" t="str">
        <f>CLEAN("ASHLAND                       ")</f>
        <v xml:space="preserve">ASHLAND                       </v>
      </c>
      <c r="L1009" t="str">
        <f>CLEAN("CLAM LAKE - MELLEN                 ")</f>
        <v xml:space="preserve">CLAM LAKE - MELLEN                 </v>
      </c>
      <c r="M1009" t="str">
        <f>CLEAN("MCCARTHY CREEK BRIDGE B-02-0075    ")</f>
        <v xml:space="preserve">MCCARTHY CREEK BRIDGE B-02-0075    </v>
      </c>
      <c r="N1009">
        <v>5.7000000000000002E-2</v>
      </c>
      <c r="O1009" t="str">
        <f t="shared" si="394"/>
        <v xml:space="preserve">          </v>
      </c>
      <c r="P1009" t="str">
        <f>CLEAN("LOCAL BRIDGES                                                                                       ")</f>
        <v xml:space="preserve">LOCAL BRIDGES                                                                                       </v>
      </c>
    </row>
    <row r="1010" spans="1:16" x14ac:dyDescent="0.25">
      <c r="A1010" t="str">
        <f t="shared" si="393"/>
        <v>10</v>
      </c>
      <c r="B1010" t="str">
        <f t="shared" si="390"/>
        <v>25</v>
      </c>
      <c r="C1010" s="1">
        <v>45909</v>
      </c>
      <c r="D1010" t="str">
        <f>CLEAN("8550-00-71")</f>
        <v>8550-00-71</v>
      </c>
      <c r="E1010" t="str">
        <f t="shared" ref="E1010:E1021" si="398">CLEAN("303  ")</f>
        <v xml:space="preserve">303  </v>
      </c>
      <c r="F1010" t="str">
        <f>CLEAN("$250,000 - $499,999      ")</f>
        <v xml:space="preserve">$250,000 - $499,999      </v>
      </c>
      <c r="G1010" t="str">
        <f t="shared" si="396"/>
        <v>LET</v>
      </c>
      <c r="H1010" t="str">
        <f t="shared" si="397"/>
        <v xml:space="preserve">LET CONSTRUCTION         </v>
      </c>
      <c r="I1010" t="str">
        <f>CLEAN("CONSTR/BRRHB/JOINT REPLACEMENT     ")</f>
        <v xml:space="preserve">CONSTR/BRRHB/JOINT REPLACEMENT     </v>
      </c>
      <c r="J1010" t="str">
        <f>CLEAN("STH 077")</f>
        <v>STH 077</v>
      </c>
      <c r="K1010" t="str">
        <f>CLEAN("WASHBURN                      ")</f>
        <v xml:space="preserve">WASHBURN                      </v>
      </c>
      <c r="L1010" t="str">
        <f>CLEAN("MINONG - HAYWARD                   ")</f>
        <v xml:space="preserve">MINONG - HAYWARD                   </v>
      </c>
      <c r="M1010" t="str">
        <f>CLEAN("SOO LINE BRIDGE B-65-0006          ")</f>
        <v xml:space="preserve">SOO LINE BRIDGE B-65-0006          </v>
      </c>
      <c r="N1010">
        <v>4.2000000000000003E-2</v>
      </c>
      <c r="O1010" t="str">
        <f t="shared" si="394"/>
        <v xml:space="preserve">          </v>
      </c>
      <c r="P1010" t="str">
        <f>CLEAN("SHR BRIDGES                                                                                         ")</f>
        <v xml:space="preserve">SHR BRIDGES                                                                                         </v>
      </c>
    </row>
    <row r="1011" spans="1:16" x14ac:dyDescent="0.25">
      <c r="A1011" t="str">
        <f t="shared" si="393"/>
        <v>10</v>
      </c>
      <c r="B1011" t="str">
        <f t="shared" si="390"/>
        <v>25</v>
      </c>
      <c r="C1011" s="1">
        <v>45894</v>
      </c>
      <c r="D1011" t="str">
        <f>CLEAN("8570-00-50")</f>
        <v>8570-00-50</v>
      </c>
      <c r="E1011" t="str">
        <f t="shared" si="398"/>
        <v xml:space="preserve">303  </v>
      </c>
      <c r="F1011" t="str">
        <f>CLEAN("$250,000 - $499,999      ")</f>
        <v xml:space="preserve">$250,000 - $499,999      </v>
      </c>
      <c r="G1011" t="str">
        <f>CLEAN("R/R")</f>
        <v>R/R</v>
      </c>
      <c r="H1011" t="str">
        <f>CLEAN("NONLET CONSTR/REAL ESTATE")</f>
        <v>NONLET CONSTR/REAL ESTATE</v>
      </c>
      <c r="I1011" t="str">
        <f>CLEAN("R/R OPS/SAFETY RAIL WARNING DEVICES")</f>
        <v>R/R OPS/SAFETY RAIL WARNING DEVICES</v>
      </c>
      <c r="J1011" t="str">
        <f>CLEAN("STH 048")</f>
        <v>STH 048</v>
      </c>
      <c r="K1011" t="str">
        <f>CLEAN("SAWYER                        ")</f>
        <v xml:space="preserve">SAWYER                        </v>
      </c>
      <c r="L1011" t="str">
        <f>CLEAN("BIRCHWOOD - EXELAND                ")</f>
        <v xml:space="preserve">BIRCHWOOD - EXELAND                </v>
      </c>
      <c r="M1011" t="str">
        <f>CLEAN("WISCONSIN CENTRAL LTD XING 697338L ")</f>
        <v xml:space="preserve">WISCONSIN CENTRAL LTD XING 697338L </v>
      </c>
      <c r="N1011">
        <v>0</v>
      </c>
      <c r="O1011" t="str">
        <f t="shared" si="394"/>
        <v xml:space="preserve">          </v>
      </c>
      <c r="P1011" t="str">
        <f>CLEAN("SAFETY - RAILROAD WARNING DEVICES                                                                   ")</f>
        <v xml:space="preserve">SAFETY - RAILROAD WARNING DEVICES                                                                   </v>
      </c>
    </row>
    <row r="1012" spans="1:16" x14ac:dyDescent="0.25">
      <c r="A1012" t="str">
        <f t="shared" si="393"/>
        <v>10</v>
      </c>
      <c r="B1012" t="str">
        <f t="shared" si="390"/>
        <v>25</v>
      </c>
      <c r="C1012" s="1">
        <v>45972</v>
      </c>
      <c r="D1012" t="str">
        <f>CLEAN("8600-00-74")</f>
        <v>8600-00-74</v>
      </c>
      <c r="E1012" t="str">
        <f t="shared" si="398"/>
        <v xml:space="preserve">303  </v>
      </c>
      <c r="F1012" t="str">
        <f>CLEAN("$1,000,000 - $1,999,999  ")</f>
        <v xml:space="preserve">$1,000,000 - $1,999,999  </v>
      </c>
      <c r="G1012" t="str">
        <f>CLEAN("LET")</f>
        <v>LET</v>
      </c>
      <c r="H1012" t="str">
        <f>CLEAN("LET CONSTRUCTION         ")</f>
        <v xml:space="preserve">LET CONSTRUCTION         </v>
      </c>
      <c r="I1012" t="str">
        <f>CLEAN("CONSTRUCTION/SAFETY                ")</f>
        <v xml:space="preserve">CONSTRUCTION/SAFETY                </v>
      </c>
      <c r="J1012" t="str">
        <f>CLEAN("STH 178")</f>
        <v>STH 178</v>
      </c>
      <c r="K1012" t="str">
        <f>CLEAN("CHIPPEWA                      ")</f>
        <v xml:space="preserve">CHIPPEWA                      </v>
      </c>
      <c r="L1012" t="str">
        <f>CLEAN("CHIPPEWA FALLS - CORNELL           ")</f>
        <v xml:space="preserve">CHIPPEWA FALLS - CORNELL           </v>
      </c>
      <c r="M1012" t="str">
        <f>CLEAN("OLSON DRIVE TO CASHMAN DRIVE       ")</f>
        <v xml:space="preserve">OLSON DRIVE TO CASHMAN DRIVE       </v>
      </c>
      <c r="N1012">
        <v>0.24399999999999999</v>
      </c>
      <c r="O1012" t="str">
        <f t="shared" si="394"/>
        <v xml:space="preserve">          </v>
      </c>
      <c r="P1012" t="str">
        <f>CLEAN("SAFETY (REGULAR HSIP)                                                                               ")</f>
        <v xml:space="preserve">SAFETY (REGULAR HSIP)                                                                               </v>
      </c>
    </row>
    <row r="1013" spans="1:16" x14ac:dyDescent="0.25">
      <c r="A1013" t="str">
        <f t="shared" si="393"/>
        <v>10</v>
      </c>
      <c r="B1013" t="str">
        <f t="shared" si="390"/>
        <v>25</v>
      </c>
      <c r="C1013" s="1">
        <v>45986</v>
      </c>
      <c r="D1013" t="str">
        <f>CLEAN("8600-08-24")</f>
        <v>8600-08-24</v>
      </c>
      <c r="E1013" t="str">
        <f t="shared" si="398"/>
        <v xml:space="preserve">303  </v>
      </c>
      <c r="F1013" t="str">
        <f>CLEAN("$0 - $99,999             ")</f>
        <v xml:space="preserve">$0 - $99,999             </v>
      </c>
      <c r="G1013" t="str">
        <f>CLEAN("R/E")</f>
        <v>R/E</v>
      </c>
      <c r="H1013" t="str">
        <f>CLEAN("NONLET CONSTR/REAL ESTATE")</f>
        <v>NONLET CONSTR/REAL ESTATE</v>
      </c>
      <c r="I1013" t="str">
        <f>CLEAN("REAL ESTATE ACQUISITION            ")</f>
        <v xml:space="preserve">REAL ESTATE ACQUISITION            </v>
      </c>
      <c r="J1013" t="str">
        <f>CLEAN("STH 178")</f>
        <v>STH 178</v>
      </c>
      <c r="K1013" t="str">
        <f>CLEAN("CHIPPEWA                      ")</f>
        <v xml:space="preserve">CHIPPEWA                      </v>
      </c>
      <c r="L1013" t="str">
        <f>CLEAN("CHIPPEWA FALLS - CORNELL           ")</f>
        <v xml:space="preserve">CHIPPEWA FALLS - CORNELL           </v>
      </c>
      <c r="M1013" t="str">
        <f>CLEAN("ONEIL CREEK BRIDGE B-09-0NEW       ")</f>
        <v xml:space="preserve">ONEIL CREEK BRIDGE B-09-0NEW       </v>
      </c>
      <c r="N1013">
        <v>0</v>
      </c>
      <c r="O1013" t="str">
        <f t="shared" si="394"/>
        <v xml:space="preserve">          </v>
      </c>
      <c r="P1013" t="str">
        <f>CLEAN("SHR BRIDGES                                                                                         ")</f>
        <v xml:space="preserve">SHR BRIDGES                                                                                         </v>
      </c>
    </row>
    <row r="1014" spans="1:16" x14ac:dyDescent="0.25">
      <c r="A1014" t="str">
        <f t="shared" si="393"/>
        <v>10</v>
      </c>
      <c r="B1014" t="str">
        <f t="shared" si="390"/>
        <v>25</v>
      </c>
      <c r="C1014" s="1">
        <v>46259</v>
      </c>
      <c r="D1014" t="str">
        <f>CLEAN("8610-08-22")</f>
        <v>8610-08-22</v>
      </c>
      <c r="E1014" t="str">
        <f t="shared" si="398"/>
        <v xml:space="preserve">303  </v>
      </c>
      <c r="F1014" t="str">
        <f>CLEAN("$0 - $99,999             ")</f>
        <v xml:space="preserve">$0 - $99,999             </v>
      </c>
      <c r="G1014" t="str">
        <f>CLEAN("R/E")</f>
        <v>R/E</v>
      </c>
      <c r="H1014" t="str">
        <f>CLEAN("NONLET CONSTR/REAL ESTATE")</f>
        <v>NONLET CONSTR/REAL ESTATE</v>
      </c>
      <c r="I1014" t="str">
        <f>CLEAN("REAL ESTATE ACQUISITION/8610-08-72 ")</f>
        <v xml:space="preserve">REAL ESTATE ACQUISITION/8610-08-72 </v>
      </c>
      <c r="J1014" t="str">
        <f>CLEAN("STH 124")</f>
        <v>STH 124</v>
      </c>
      <c r="K1014" t="str">
        <f>CLEAN("CHIPPEWA                      ")</f>
        <v xml:space="preserve">CHIPPEWA                      </v>
      </c>
      <c r="L1014" t="str">
        <f>CLEAN("CHIPPEWA FALLS - BLOOMER           ")</f>
        <v xml:space="preserve">CHIPPEWA FALLS - BLOOMER           </v>
      </c>
      <c r="M1014" t="str">
        <f>CLEAN("CTH S TO STH 64                    ")</f>
        <v xml:space="preserve">CTH S TO STH 64                    </v>
      </c>
      <c r="N1014">
        <v>10.61</v>
      </c>
      <c r="O1014" t="str">
        <f t="shared" si="394"/>
        <v xml:space="preserve">          </v>
      </c>
      <c r="P1014" t="str">
        <f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1015" spans="1:16" x14ac:dyDescent="0.25">
      <c r="A1015" t="str">
        <f t="shared" si="393"/>
        <v>10</v>
      </c>
      <c r="B1015" t="str">
        <f t="shared" si="390"/>
        <v>25</v>
      </c>
      <c r="C1015" s="1">
        <v>45909</v>
      </c>
      <c r="D1015" t="str">
        <f>CLEAN("8610-08-73")</f>
        <v>8610-08-73</v>
      </c>
      <c r="E1015" t="str">
        <f t="shared" si="398"/>
        <v xml:space="preserve">303  </v>
      </c>
      <c r="F1015" t="str">
        <f>CLEAN("$2,000,000 - $2,999,999  ")</f>
        <v xml:space="preserve">$2,000,000 - $2,999,999  </v>
      </c>
      <c r="G1015" t="str">
        <f>CLEAN("LET")</f>
        <v>LET</v>
      </c>
      <c r="H1015" t="str">
        <f>CLEAN("LET CONSTRUCTION         ")</f>
        <v xml:space="preserve">LET CONSTRUCTION         </v>
      </c>
      <c r="I1015" t="str">
        <f>CLEAN("CONSTRUCTION/RESURFACE             ")</f>
        <v xml:space="preserve">CONSTRUCTION/RESURFACE             </v>
      </c>
      <c r="J1015" t="str">
        <f>CLEAN("STH 124")</f>
        <v>STH 124</v>
      </c>
      <c r="K1015" t="str">
        <f>CLEAN("CHIPPEWA                      ")</f>
        <v xml:space="preserve">CHIPPEWA                      </v>
      </c>
      <c r="L1015" t="str">
        <f>CLEAN("CHIPPEWA FALLS - BLOOMER           ")</f>
        <v xml:space="preserve">CHIPPEWA FALLS - BLOOMER           </v>
      </c>
      <c r="M1015" t="str">
        <f>CLEAN("ELM STREET TO CTH S                ")</f>
        <v xml:space="preserve">ELM STREET TO CTH S                </v>
      </c>
      <c r="N1015">
        <v>1.8640000000000001</v>
      </c>
      <c r="O1015" t="str">
        <f t="shared" si="394"/>
        <v xml:space="preserve">          </v>
      </c>
      <c r="P1015" t="str">
        <f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1016" spans="1:16" x14ac:dyDescent="0.25">
      <c r="A1016" t="str">
        <f t="shared" si="393"/>
        <v>10</v>
      </c>
      <c r="B1016" t="str">
        <f t="shared" si="390"/>
        <v>25</v>
      </c>
      <c r="C1016" s="1">
        <v>45894</v>
      </c>
      <c r="D1016" t="str">
        <f>CLEAN("8620-00-54")</f>
        <v>8620-00-54</v>
      </c>
      <c r="E1016" t="str">
        <f t="shared" si="398"/>
        <v xml:space="preserve">303  </v>
      </c>
      <c r="F1016" t="str">
        <f>CLEAN("$250,000 - $499,999      ")</f>
        <v xml:space="preserve">$250,000 - $499,999      </v>
      </c>
      <c r="G1016" t="str">
        <f>CLEAN("R/R")</f>
        <v>R/R</v>
      </c>
      <c r="H1016" t="str">
        <f>CLEAN("NONLET CONSTR/REAL ESTATE")</f>
        <v>NONLET CONSTR/REAL ESTATE</v>
      </c>
      <c r="I1016" t="str">
        <f>CLEAN("R/R OPS - SIGNAL REPLACEMENT       ")</f>
        <v xml:space="preserve">R/R OPS - SIGNAL REPLACEMENT       </v>
      </c>
      <c r="J1016" t="str">
        <f>CLEAN("STH 040")</f>
        <v>STH 040</v>
      </c>
      <c r="K1016" t="str">
        <f>CLEAN("DUNN                          ")</f>
        <v xml:space="preserve">DUNN                          </v>
      </c>
      <c r="L1016" t="str">
        <f>CLEAN("ELK MOUND - BLOOMER                ")</f>
        <v xml:space="preserve">ELK MOUND - BLOOMER                </v>
      </c>
      <c r="M1016" t="str">
        <f>CLEAN("WCL RR XING 692959P                ")</f>
        <v xml:space="preserve">WCL RR XING 692959P                </v>
      </c>
      <c r="N1016">
        <v>0</v>
      </c>
      <c r="O1016" t="str">
        <f t="shared" si="394"/>
        <v xml:space="preserve">          </v>
      </c>
      <c r="P1016" t="str">
        <f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1017" spans="1:16" x14ac:dyDescent="0.25">
      <c r="A1017" t="str">
        <f t="shared" si="393"/>
        <v>10</v>
      </c>
      <c r="B1017" t="str">
        <f t="shared" si="390"/>
        <v>25</v>
      </c>
      <c r="C1017" s="1">
        <v>45894</v>
      </c>
      <c r="D1017" t="str">
        <f>CLEAN("8620-00-55")</f>
        <v>8620-00-55</v>
      </c>
      <c r="E1017" t="str">
        <f t="shared" si="398"/>
        <v xml:space="preserve">303  </v>
      </c>
      <c r="F1017" t="str">
        <f>CLEAN("$100,000-$249,999        ")</f>
        <v xml:space="preserve">$100,000-$249,999        </v>
      </c>
      <c r="G1017" t="str">
        <f>CLEAN("R/R")</f>
        <v>R/R</v>
      </c>
      <c r="H1017" t="str">
        <f>CLEAN("NONLET CONSTR/REAL ESTATE")</f>
        <v>NONLET CONSTR/REAL ESTATE</v>
      </c>
      <c r="I1017" t="str">
        <f>CLEAN("R/R OPS - R/R XING SURFACE         ")</f>
        <v xml:space="preserve">R/R OPS - R/R XING SURFACE         </v>
      </c>
      <c r="J1017" t="str">
        <f>CLEAN("STH 040")</f>
        <v>STH 040</v>
      </c>
      <c r="K1017" t="str">
        <f>CLEAN("DUNN                          ")</f>
        <v xml:space="preserve">DUNN                          </v>
      </c>
      <c r="L1017" t="str">
        <f>CLEAN("ELK MOUND - BLOOMER                ")</f>
        <v xml:space="preserve">ELK MOUND - BLOOMER                </v>
      </c>
      <c r="M1017" t="str">
        <f>CLEAN("WCL RR XING 692959P                ")</f>
        <v xml:space="preserve">WCL RR XING 692959P                </v>
      </c>
      <c r="N1017">
        <v>0</v>
      </c>
      <c r="O1017" t="str">
        <f t="shared" si="394"/>
        <v xml:space="preserve">          </v>
      </c>
      <c r="P1017" t="str">
        <f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1018" spans="1:16" x14ac:dyDescent="0.25">
      <c r="A1018" t="str">
        <f t="shared" si="393"/>
        <v>10</v>
      </c>
      <c r="B1018" t="str">
        <f t="shared" si="390"/>
        <v>25</v>
      </c>
      <c r="C1018" s="1">
        <v>46000</v>
      </c>
      <c r="D1018" t="str">
        <f>CLEAN("8620-00-75")</f>
        <v>8620-00-75</v>
      </c>
      <c r="E1018" t="str">
        <f t="shared" si="398"/>
        <v xml:space="preserve">303  </v>
      </c>
      <c r="F1018" t="str">
        <f>CLEAN("$7,000,000 - $7,999,999  ")</f>
        <v xml:space="preserve">$7,000,000 - $7,999,999  </v>
      </c>
      <c r="G1018" t="str">
        <f t="shared" ref="G1018:G1023" si="399">CLEAN("LET")</f>
        <v>LET</v>
      </c>
      <c r="H1018" t="str">
        <f t="shared" ref="H1018:H1023" si="400">CLEAN("LET CONSTRUCTION         ")</f>
        <v xml:space="preserve">LET CONSTRUCTION         </v>
      </c>
      <c r="I1018" t="str">
        <f>CLEAN("CONSTRUCTION/RSRF20                ")</f>
        <v xml:space="preserve">CONSTRUCTION/RSRF20                </v>
      </c>
      <c r="J1018" t="str">
        <f>CLEAN("STH 040")</f>
        <v>STH 040</v>
      </c>
      <c r="K1018" t="str">
        <f>CLEAN("DUNN                          ")</f>
        <v xml:space="preserve">DUNN                          </v>
      </c>
      <c r="L1018" t="str">
        <f>CLEAN("ELK MOUND - BLOOMER                ")</f>
        <v xml:space="preserve">ELK MOUND - BLOOMER                </v>
      </c>
      <c r="M1018" t="str">
        <f>CLEAN("USH 12 TO CTH M                    ")</f>
        <v xml:space="preserve">USH 12 TO CTH M                    </v>
      </c>
      <c r="N1018">
        <v>8.9</v>
      </c>
      <c r="O1018" t="str">
        <f>CLEAN("7600-00-72")</f>
        <v>7600-00-72</v>
      </c>
      <c r="P1018" t="str">
        <f>CLEAN("SAFETY (REGULAR HSIP)                                                                               ")</f>
        <v xml:space="preserve">SAFETY (REGULAR HSIP)                                                                               </v>
      </c>
    </row>
    <row r="1019" spans="1:16" x14ac:dyDescent="0.25">
      <c r="A1019" t="str">
        <f t="shared" si="393"/>
        <v>10</v>
      </c>
      <c r="B1019" t="str">
        <f t="shared" si="390"/>
        <v>25</v>
      </c>
      <c r="C1019" s="1">
        <v>46000</v>
      </c>
      <c r="D1019" t="str">
        <f>CLEAN("8620-00-75")</f>
        <v>8620-00-75</v>
      </c>
      <c r="E1019" t="str">
        <f t="shared" si="398"/>
        <v xml:space="preserve">303  </v>
      </c>
      <c r="F1019" t="str">
        <f>CLEAN("$7,000,000 - $7,999,999  ")</f>
        <v xml:space="preserve">$7,000,000 - $7,999,999  </v>
      </c>
      <c r="G1019" t="str">
        <f t="shared" si="399"/>
        <v>LET</v>
      </c>
      <c r="H1019" t="str">
        <f t="shared" si="400"/>
        <v xml:space="preserve">LET CONSTRUCTION         </v>
      </c>
      <c r="I1019" t="str">
        <f>CLEAN("CONSTRUCTION/RSRF20                ")</f>
        <v xml:space="preserve">CONSTRUCTION/RSRF20                </v>
      </c>
      <c r="J1019" t="str">
        <f>CLEAN("STH 040")</f>
        <v>STH 040</v>
      </c>
      <c r="K1019" t="str">
        <f>CLEAN("DUNN                          ")</f>
        <v xml:space="preserve">DUNN                          </v>
      </c>
      <c r="L1019" t="str">
        <f>CLEAN("ELK MOUND - BLOOMER                ")</f>
        <v xml:space="preserve">ELK MOUND - BLOOMER                </v>
      </c>
      <c r="M1019" t="str">
        <f>CLEAN("USH 12 TO CTH M                    ")</f>
        <v xml:space="preserve">USH 12 TO CTH M                    </v>
      </c>
      <c r="N1019">
        <v>8.9</v>
      </c>
      <c r="O1019" t="str">
        <f>CLEAN("7600-00-72")</f>
        <v>7600-00-72</v>
      </c>
      <c r="P1019" t="str">
        <f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1020" spans="1:16" x14ac:dyDescent="0.25">
      <c r="A1020" t="str">
        <f t="shared" si="393"/>
        <v>10</v>
      </c>
      <c r="B1020" t="str">
        <f t="shared" si="390"/>
        <v>25</v>
      </c>
      <c r="C1020" s="1">
        <v>45972</v>
      </c>
      <c r="D1020" t="str">
        <f>CLEAN("8630-00-70")</f>
        <v>8630-00-70</v>
      </c>
      <c r="E1020" t="str">
        <f t="shared" si="398"/>
        <v xml:space="preserve">303  </v>
      </c>
      <c r="F1020" t="str">
        <f>CLEAN("$1,000,000 - $1,999,999  ")</f>
        <v xml:space="preserve">$1,000,000 - $1,999,999  </v>
      </c>
      <c r="G1020" t="str">
        <f t="shared" si="399"/>
        <v>LET</v>
      </c>
      <c r="H1020" t="str">
        <f t="shared" si="400"/>
        <v xml:space="preserve">LET CONSTRUCTION         </v>
      </c>
      <c r="I1020" t="str">
        <f>CLEAN("CONSTR/BRIDGE REHABILITATION/REDECK")</f>
        <v>CONSTR/BRIDGE REHABILITATION/REDECK</v>
      </c>
      <c r="J1020" t="str">
        <f>CLEAN("STH 170")</f>
        <v>STH 170</v>
      </c>
      <c r="K1020" t="str">
        <f>CLEAN("DUNN                          ")</f>
        <v xml:space="preserve">DUNN                          </v>
      </c>
      <c r="L1020" t="str">
        <f>CLEAN("GLENWOOD CITY - COLFAX             ")</f>
        <v xml:space="preserve">GLENWOOD CITY - COLFAX             </v>
      </c>
      <c r="M1020" t="str">
        <f>CLEAN("RED CEDAR RIVER BRIDGE B-17-0002   ")</f>
        <v xml:space="preserve">RED CEDAR RIVER BRIDGE B-17-0002   </v>
      </c>
      <c r="N1020">
        <v>6.6000000000000003E-2</v>
      </c>
      <c r="O1020" t="str">
        <f t="shared" ref="O1020:O1053" si="401">CLEAN("          ")</f>
        <v xml:space="preserve">          </v>
      </c>
      <c r="P1020" t="str">
        <f>CLEAN("SHR BRIDGES                                                                                         ")</f>
        <v xml:space="preserve">SHR BRIDGES                                                                                         </v>
      </c>
    </row>
    <row r="1021" spans="1:16" x14ac:dyDescent="0.25">
      <c r="A1021" t="str">
        <f t="shared" si="393"/>
        <v>10</v>
      </c>
      <c r="B1021" t="str">
        <f t="shared" si="390"/>
        <v>25</v>
      </c>
      <c r="C1021" s="1">
        <v>46000</v>
      </c>
      <c r="D1021" t="str">
        <f>CLEAN("8650-00-74")</f>
        <v>8650-00-74</v>
      </c>
      <c r="E1021" t="str">
        <f t="shared" si="398"/>
        <v xml:space="preserve">303  </v>
      </c>
      <c r="F1021" t="str">
        <f>CLEAN("$5,000,000 - $5,999,999  ")</f>
        <v xml:space="preserve">$5,000,000 - $5,999,999  </v>
      </c>
      <c r="G1021" t="str">
        <f t="shared" si="399"/>
        <v>LET</v>
      </c>
      <c r="H1021" t="str">
        <f t="shared" si="400"/>
        <v xml:space="preserve">LET CONSTRUCTION         </v>
      </c>
      <c r="I1021" t="str">
        <f>CLEAN("CONSTRUCTION/RESURFACE             ")</f>
        <v xml:space="preserve">CONSTRUCTION/RESURFACE             </v>
      </c>
      <c r="J1021" t="str">
        <f>CLEAN("STH 128")</f>
        <v>STH 128</v>
      </c>
      <c r="K1021" t="str">
        <f>CLEAN("ST. CROIX                     ")</f>
        <v xml:space="preserve">ST. CROIX                     </v>
      </c>
      <c r="L1021" t="str">
        <f>CLEAN("ELMWOOD - STH 64                   ")</f>
        <v xml:space="preserve">ELMWOOD - STH 64                   </v>
      </c>
      <c r="M1021" t="str">
        <f>CLEAN("USH 12 TO STH 170                  ")</f>
        <v xml:space="preserve">USH 12 TO STH 170                  </v>
      </c>
      <c r="N1021">
        <v>7.81</v>
      </c>
      <c r="O1021" t="str">
        <f t="shared" si="401"/>
        <v xml:space="preserve">          </v>
      </c>
      <c r="P1021" t="str">
        <f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1022" spans="1:16" x14ac:dyDescent="0.25">
      <c r="A1022" t="str">
        <f t="shared" si="393"/>
        <v>10</v>
      </c>
      <c r="B1022" t="str">
        <f>CLEAN("24")</f>
        <v>24</v>
      </c>
      <c r="C1022" s="1">
        <v>46091</v>
      </c>
      <c r="D1022" t="str">
        <f>CLEAN("8724-04-71")</f>
        <v>8724-04-71</v>
      </c>
      <c r="E1022" t="str">
        <f>CLEAN("205  ")</f>
        <v xml:space="preserve">205  </v>
      </c>
      <c r="F1022" t="str">
        <f>CLEAN("$500,000 - $749,999      ")</f>
        <v xml:space="preserve">$500,000 - $749,999      </v>
      </c>
      <c r="G1022" t="str">
        <f t="shared" si="399"/>
        <v>LET</v>
      </c>
      <c r="H1022" t="str">
        <f t="shared" si="400"/>
        <v xml:space="preserve">LET CONSTRUCTION         </v>
      </c>
      <c r="I1022" t="str">
        <f>CLEAN("CONST/REPLACEMENT                  ")</f>
        <v xml:space="preserve">CONST/REPLACEMENT                  </v>
      </c>
      <c r="J1022" t="str">
        <f>CLEAN("LOC STR")</f>
        <v>LOC STR</v>
      </c>
      <c r="K1022" t="str">
        <f>CLEAN("PRICE                         ")</f>
        <v xml:space="preserve">PRICE                         </v>
      </c>
      <c r="L1022" t="str">
        <f>CLEAN("T OGEMA, LARKIN ROAD               ")</f>
        <v xml:space="preserve">T OGEMA, LARKIN ROAD               </v>
      </c>
      <c r="M1022" t="str">
        <f>CLEAN("HOLMES CREEK BRIDGE, B-50-0097     ")</f>
        <v xml:space="preserve">HOLMES CREEK BRIDGE, B-50-0097     </v>
      </c>
      <c r="N1022">
        <v>0</v>
      </c>
      <c r="O1022" t="str">
        <f t="shared" si="401"/>
        <v xml:space="preserve">          </v>
      </c>
      <c r="P1022" t="str">
        <f>CLEAN("LOCAL BRIDGES                                                                                       ")</f>
        <v xml:space="preserve">LOCAL BRIDGES                                                                                       </v>
      </c>
    </row>
    <row r="1023" spans="1:16" x14ac:dyDescent="0.25">
      <c r="A1023" t="str">
        <f t="shared" si="393"/>
        <v>10</v>
      </c>
      <c r="B1023" t="str">
        <f t="shared" ref="B1023:B1048" si="402">CLEAN("25")</f>
        <v>25</v>
      </c>
      <c r="C1023" s="1">
        <v>46063</v>
      </c>
      <c r="D1023" t="str">
        <f>CLEAN("8743-00-70")</f>
        <v>8743-00-70</v>
      </c>
      <c r="E1023" t="str">
        <f>CLEAN("206  ")</f>
        <v xml:space="preserve">206  </v>
      </c>
      <c r="F1023" t="str">
        <f>CLEAN("$1,000,000 - $1,999,999  ")</f>
        <v xml:space="preserve">$1,000,000 - $1,999,999  </v>
      </c>
      <c r="G1023" t="str">
        <f t="shared" si="399"/>
        <v>LET</v>
      </c>
      <c r="H1023" t="str">
        <f t="shared" si="400"/>
        <v xml:space="preserve">LET CONSTRUCTION         </v>
      </c>
      <c r="I1023" t="str">
        <f>CLEAN("CONSTRUCTION/PVRPLA                ")</f>
        <v xml:space="preserve">CONSTRUCTION/PVRPLA                </v>
      </c>
      <c r="J1023" t="str">
        <f>CLEAN("CTH B  ")</f>
        <v xml:space="preserve">CTH B  </v>
      </c>
      <c r="K1023" t="str">
        <f>CLEAN("BAYFIELD                      ")</f>
        <v xml:space="preserve">BAYFIELD                      </v>
      </c>
      <c r="L1023" t="str">
        <f>CLEAN("CTH FF - CTH A                     ")</f>
        <v xml:space="preserve">CTH FF - CTH A                     </v>
      </c>
      <c r="M1023" t="str">
        <f>CLEAN("CTH FF TO HOOVER LINE ROAD         ")</f>
        <v xml:space="preserve">CTH FF TO HOOVER LINE ROAD         </v>
      </c>
      <c r="N1023">
        <v>2.94</v>
      </c>
      <c r="O1023" t="str">
        <f t="shared" si="401"/>
        <v xml:space="preserve">          </v>
      </c>
      <c r="P1023" t="str">
        <f>CLEAN("STP RURAL                                                                                           ")</f>
        <v xml:space="preserve">STP RURAL                                                                                           </v>
      </c>
    </row>
    <row r="1024" spans="1:16" x14ac:dyDescent="0.25">
      <c r="A1024" t="str">
        <f t="shared" si="393"/>
        <v>10</v>
      </c>
      <c r="B1024" t="str">
        <f t="shared" si="402"/>
        <v>25</v>
      </c>
      <c r="C1024" s="1">
        <v>46198</v>
      </c>
      <c r="D1024" t="str">
        <f>CLEAN("8758-00-52")</f>
        <v>8758-00-52</v>
      </c>
      <c r="E1024" t="str">
        <f>CLEAN("207  ")</f>
        <v xml:space="preserve">207  </v>
      </c>
      <c r="F1024" t="str">
        <f>CLEAN("$250,000 - $499,999      ")</f>
        <v xml:space="preserve">$250,000 - $499,999      </v>
      </c>
      <c r="G1024" t="str">
        <f>CLEAN("R/R")</f>
        <v>R/R</v>
      </c>
      <c r="H1024" t="str">
        <f>CLEAN("NONLET CONSTR/REAL ESTATE")</f>
        <v>NONLET CONSTR/REAL ESTATE</v>
      </c>
      <c r="I1024" t="str">
        <f>CLEAN("R/R OPS/SAFETY RAIL WARNING DEVICES")</f>
        <v>R/R OPS/SAFETY RAIL WARNING DEVICES</v>
      </c>
      <c r="J1024" t="str">
        <f>CLEAN("CTH C  ")</f>
        <v xml:space="preserve">CTH C  </v>
      </c>
      <c r="K1024" t="str">
        <f>CLEAN("DOUGLAS                       ")</f>
        <v xml:space="preserve">DOUGLAS                       </v>
      </c>
      <c r="L1024" t="str">
        <f>CLEAN("DEWEY - STH 35                     ")</f>
        <v xml:space="preserve">DEWEY - STH 35                     </v>
      </c>
      <c r="M1024" t="str">
        <f>CLEAN("BNSF RR XING 086402V               ")</f>
        <v xml:space="preserve">BNSF RR XING 086402V               </v>
      </c>
      <c r="N1024">
        <v>0</v>
      </c>
      <c r="O1024" t="str">
        <f t="shared" si="401"/>
        <v xml:space="preserve">          </v>
      </c>
      <c r="P1024" t="str">
        <f>CLEAN("SAFETY - RAILROAD WARNING DEVICES                                                                   ")</f>
        <v xml:space="preserve">SAFETY - RAILROAD WARNING DEVICES                                                                   </v>
      </c>
    </row>
    <row r="1025" spans="1:16" x14ac:dyDescent="0.25">
      <c r="A1025" t="str">
        <f t="shared" si="393"/>
        <v>10</v>
      </c>
      <c r="B1025" t="str">
        <f t="shared" si="402"/>
        <v>25</v>
      </c>
      <c r="C1025" s="1">
        <v>46198</v>
      </c>
      <c r="D1025" t="str">
        <f>CLEAN("8759-00-50")</f>
        <v>8759-00-50</v>
      </c>
      <c r="E1025" t="str">
        <f>CLEAN("207  ")</f>
        <v xml:space="preserve">207  </v>
      </c>
      <c r="F1025" t="str">
        <f>CLEAN("$250,000 - $499,999      ")</f>
        <v xml:space="preserve">$250,000 - $499,999      </v>
      </c>
      <c r="G1025" t="str">
        <f>CLEAN("R/R")</f>
        <v>R/R</v>
      </c>
      <c r="H1025" t="str">
        <f>CLEAN("NONLET CONSTR/REAL ESTATE")</f>
        <v>NONLET CONSTR/REAL ESTATE</v>
      </c>
      <c r="I1025" t="str">
        <f>CLEAN("R/R OPS/SAFETY RAIL WARNING DEVICES")</f>
        <v>R/R OPS/SAFETY RAIL WARNING DEVICES</v>
      </c>
      <c r="J1025" t="str">
        <f>CLEAN("CTH W  ")</f>
        <v xml:space="preserve">CTH W  </v>
      </c>
      <c r="K1025" t="str">
        <f>CLEAN("DOUGLAS                       ")</f>
        <v xml:space="preserve">DOUGLAS                       </v>
      </c>
      <c r="L1025" t="str">
        <f>CLEAN("FOXBORO - DEWEY                    ")</f>
        <v xml:space="preserve">FOXBORO - DEWEY                    </v>
      </c>
      <c r="M1025" t="str">
        <f>CLEAN("BNSF RR XING 061443D               ")</f>
        <v xml:space="preserve">BNSF RR XING 061443D               </v>
      </c>
      <c r="N1025">
        <v>0</v>
      </c>
      <c r="O1025" t="str">
        <f t="shared" si="401"/>
        <v xml:space="preserve">          </v>
      </c>
      <c r="P1025" t="str">
        <f>CLEAN("SAFETY - RAILROAD WARNING DEVICES                                                                   ")</f>
        <v xml:space="preserve">SAFETY - RAILROAD WARNING DEVICES                                                                   </v>
      </c>
    </row>
    <row r="1026" spans="1:16" x14ac:dyDescent="0.25">
      <c r="A1026" t="str">
        <f t="shared" si="393"/>
        <v>10</v>
      </c>
      <c r="B1026" t="str">
        <f t="shared" si="402"/>
        <v>25</v>
      </c>
      <c r="C1026" s="1">
        <v>46063</v>
      </c>
      <c r="D1026" t="str">
        <f>CLEAN("8760-00-72")</f>
        <v>8760-00-72</v>
      </c>
      <c r="E1026" t="str">
        <f>CLEAN("303  ")</f>
        <v xml:space="preserve">303  </v>
      </c>
      <c r="F1026" t="str">
        <f>CLEAN("$2,000,000 - $2,999,999  ")</f>
        <v xml:space="preserve">$2,000,000 - $2,999,999  </v>
      </c>
      <c r="G1026" t="str">
        <f t="shared" ref="G1026:G1035" si="403">CLEAN("LET")</f>
        <v>LET</v>
      </c>
      <c r="H1026" t="str">
        <f t="shared" ref="H1026:H1035" si="404">CLEAN("LET CONSTRUCTION         ")</f>
        <v xml:space="preserve">LET CONSTRUCTION         </v>
      </c>
      <c r="I1026" t="str">
        <f>CLEAN("CONSTRUCTION/CULVERT REPLACEMENT   ")</f>
        <v xml:space="preserve">CONSTRUCTION/CULVERT REPLACEMENT   </v>
      </c>
      <c r="J1026" t="str">
        <f>CLEAN("STH 105")</f>
        <v>STH 105</v>
      </c>
      <c r="K1026" t="str">
        <f>CLEAN("DOUGLAS                       ")</f>
        <v xml:space="preserve">DOUGLAS                       </v>
      </c>
      <c r="L1026" t="str">
        <f>CLEAN("OLIVER - SUPERIOR                  ")</f>
        <v xml:space="preserve">OLIVER - SUPERIOR                  </v>
      </c>
      <c r="M1026" t="str">
        <f>CLEAN("UNNAMED TRIB TO THE POKEGAMA RIVER ")</f>
        <v xml:space="preserve">UNNAMED TRIB TO THE POKEGAMA RIVER </v>
      </c>
      <c r="N1026">
        <v>0.01</v>
      </c>
      <c r="O1026" t="str">
        <f t="shared" si="401"/>
        <v xml:space="preserve">          </v>
      </c>
      <c r="P1026" t="str">
        <f>CLEAN("SHR BRIDGES                                                                                         ")</f>
        <v xml:space="preserve">SHR BRIDGES                                                                                         </v>
      </c>
    </row>
    <row r="1027" spans="1:16" x14ac:dyDescent="0.25">
      <c r="A1027" t="str">
        <f t="shared" si="393"/>
        <v>10</v>
      </c>
      <c r="B1027" t="str">
        <f t="shared" si="402"/>
        <v>25</v>
      </c>
      <c r="C1027" s="1">
        <v>46035</v>
      </c>
      <c r="D1027" t="str">
        <f>CLEAN("8798-00-73")</f>
        <v>8798-00-73</v>
      </c>
      <c r="E1027" t="str">
        <f>CLEAN("303  ")</f>
        <v xml:space="preserve">303  </v>
      </c>
      <c r="F1027" t="str">
        <f>CLEAN("$1,000,000 - $1,999,999  ")</f>
        <v xml:space="preserve">$1,000,000 - $1,999,999  </v>
      </c>
      <c r="G1027" t="str">
        <f t="shared" si="403"/>
        <v>LET</v>
      </c>
      <c r="H1027" t="str">
        <f t="shared" si="404"/>
        <v xml:space="preserve">LET CONSTRUCTION         </v>
      </c>
      <c r="I1027" t="str">
        <f>CLEAN("CONSTRUCTION/CONCRETE OVERLAY      ")</f>
        <v xml:space="preserve">CONSTRUCTION/CONCRETE OVERLAY      </v>
      </c>
      <c r="J1027" t="str">
        <f>CLEAN("CTH D  ")</f>
        <v xml:space="preserve">CTH D  </v>
      </c>
      <c r="K1027" t="str">
        <f>CLEAN("BARRON                        ")</f>
        <v xml:space="preserve">BARRON                        </v>
      </c>
      <c r="L1027" t="str">
        <f>CLEAN("C CHETEK, SUMNER AVE               ")</f>
        <v xml:space="preserve">C CHETEK, SUMNER AVE               </v>
      </c>
      <c r="M1027" t="str">
        <f>CLEAN("LAKE CHETEK BRIDGE B-03-0036       ")</f>
        <v xml:space="preserve">LAKE CHETEK BRIDGE B-03-0036       </v>
      </c>
      <c r="N1027">
        <v>0.157</v>
      </c>
      <c r="O1027" t="str">
        <f t="shared" si="401"/>
        <v xml:space="preserve">          </v>
      </c>
      <c r="P1027" t="str">
        <f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1028" spans="1:16" x14ac:dyDescent="0.25">
      <c r="A1028" t="str">
        <f t="shared" si="393"/>
        <v>10</v>
      </c>
      <c r="B1028" t="str">
        <f t="shared" si="402"/>
        <v>25</v>
      </c>
      <c r="C1028" s="1">
        <v>45944</v>
      </c>
      <c r="D1028" t="str">
        <f>CLEAN("8829-00-72")</f>
        <v>8829-00-72</v>
      </c>
      <c r="E1028" t="str">
        <f>CLEAN("206  ")</f>
        <v xml:space="preserve">206  </v>
      </c>
      <c r="F1028" t="str">
        <f>CLEAN("$1,000,000 - $1,999,999  ")</f>
        <v xml:space="preserve">$1,000,000 - $1,999,999  </v>
      </c>
      <c r="G1028" t="str">
        <f t="shared" si="403"/>
        <v>LET</v>
      </c>
      <c r="H1028" t="str">
        <f t="shared" si="404"/>
        <v xml:space="preserve">LET CONSTRUCTION         </v>
      </c>
      <c r="I1028" t="str">
        <f>CLEAN("CONSTR/SFTY/INTERSECTION IMPRVMNTS ")</f>
        <v xml:space="preserve">CONSTR/SFTY/INTERSECTION IMPRVMNTS </v>
      </c>
      <c r="J1028" t="str">
        <f>CLEAN("CTH O  ")</f>
        <v xml:space="preserve">CTH O  </v>
      </c>
      <c r="K1028" t="str">
        <f>CLEAN("BARRON                        ")</f>
        <v xml:space="preserve">BARRON                        </v>
      </c>
      <c r="L1028" t="str">
        <f>CLEAN("USH 53 - CTH SS                    ")</f>
        <v xml:space="preserve">USH 53 - CTH SS                    </v>
      </c>
      <c r="M1028" t="str">
        <f>CLEAN("WISCONSIN AVENUE INTERSECTION      ")</f>
        <v xml:space="preserve">WISCONSIN AVENUE INTERSECTION      </v>
      </c>
      <c r="N1028">
        <v>0.20399999999999999</v>
      </c>
      <c r="O1028" t="str">
        <f t="shared" si="401"/>
        <v xml:space="preserve">          </v>
      </c>
      <c r="P1028" t="str">
        <f>CLEAN("SAFETY (REGULAR HSIP)                                                                               ")</f>
        <v xml:space="preserve">SAFETY (REGULAR HSIP)                                                                               </v>
      </c>
    </row>
    <row r="1029" spans="1:16" x14ac:dyDescent="0.25">
      <c r="A1029" t="str">
        <f t="shared" si="393"/>
        <v>10</v>
      </c>
      <c r="B1029" t="str">
        <f t="shared" si="402"/>
        <v>25</v>
      </c>
      <c r="C1029" s="1">
        <v>45944</v>
      </c>
      <c r="D1029" t="str">
        <f>CLEAN("8829-00-73")</f>
        <v>8829-00-73</v>
      </c>
      <c r="E1029" t="str">
        <f>CLEAN("205  ")</f>
        <v xml:space="preserve">205  </v>
      </c>
      <c r="F1029" t="str">
        <f>CLEAN("$500,000 - $749,999      ")</f>
        <v xml:space="preserve">$500,000 - $749,999      </v>
      </c>
      <c r="G1029" t="str">
        <f t="shared" si="403"/>
        <v>LET</v>
      </c>
      <c r="H1029" t="str">
        <f t="shared" si="404"/>
        <v xml:space="preserve">LET CONSTRUCTION         </v>
      </c>
      <c r="I1029" t="str">
        <f>CLEAN("CONSTRUCTION/BRRPL                 ")</f>
        <v xml:space="preserve">CONSTRUCTION/BRRPL                 </v>
      </c>
      <c r="J1029" t="str">
        <f>CLEAN("CTH O  ")</f>
        <v xml:space="preserve">CTH O  </v>
      </c>
      <c r="K1029" t="str">
        <f>CLEAN("BARRON                        ")</f>
        <v xml:space="preserve">BARRON                        </v>
      </c>
      <c r="L1029" t="str">
        <f>CLEAN("DALLAS - CTH D                     ")</f>
        <v xml:space="preserve">DALLAS - CTH D                     </v>
      </c>
      <c r="M1029" t="str">
        <f>CLEAN("E BR UPPER PINE CRK BR B-03-0219   ")</f>
        <v xml:space="preserve">E BR UPPER PINE CRK BR B-03-0219   </v>
      </c>
      <c r="N1029">
        <v>3.6999999999999998E-2</v>
      </c>
      <c r="O1029" t="str">
        <f t="shared" si="401"/>
        <v xml:space="preserve">          </v>
      </c>
      <c r="P1029" t="str">
        <f>CLEAN("LOCAL BRIDGES                                                                                       ")</f>
        <v xml:space="preserve">LOCAL BRIDGES                                                                                       </v>
      </c>
    </row>
    <row r="1030" spans="1:16" x14ac:dyDescent="0.25">
      <c r="A1030" t="str">
        <f t="shared" si="393"/>
        <v>10</v>
      </c>
      <c r="B1030" t="str">
        <f t="shared" si="402"/>
        <v>25</v>
      </c>
      <c r="C1030" s="1">
        <v>46035</v>
      </c>
      <c r="D1030" t="str">
        <f>CLEAN("8840-00-70")</f>
        <v>8840-00-70</v>
      </c>
      <c r="E1030" t="str">
        <f>CLEAN("303  ")</f>
        <v xml:space="preserve">303  </v>
      </c>
      <c r="F1030" t="str">
        <f>CLEAN("$1,000,000 - $1,999,999  ")</f>
        <v xml:space="preserve">$1,000,000 - $1,999,999  </v>
      </c>
      <c r="G1030" t="str">
        <f t="shared" si="403"/>
        <v>LET</v>
      </c>
      <c r="H1030" t="str">
        <f t="shared" si="404"/>
        <v xml:space="preserve">LET CONSTRUCTION         </v>
      </c>
      <c r="I1030" t="str">
        <f>CLEAN("CONSTRUCTION/CIR/RESURFACE         ")</f>
        <v xml:space="preserve">CONSTRUCTION/CIR/RESURFACE         </v>
      </c>
      <c r="J1030" t="str">
        <f>CLEAN("STH 087")</f>
        <v>STH 087</v>
      </c>
      <c r="K1030" t="str">
        <f>CLEAN("POLK                          ")</f>
        <v xml:space="preserve">POLK                          </v>
      </c>
      <c r="L1030" t="str">
        <f>CLEAN("ST. CROIX FALLS - GRANTSBURG       ")</f>
        <v xml:space="preserve">ST. CROIX FALLS - GRANTSBURG       </v>
      </c>
      <c r="M1030" t="str">
        <f>CLEAN("USH 8 TO 240' N OF MINNESOTA ST    ")</f>
        <v xml:space="preserve">USH 8 TO 240' N OF MINNESOTA ST    </v>
      </c>
      <c r="N1030">
        <v>1.0760000000000001</v>
      </c>
      <c r="O1030" t="str">
        <f t="shared" si="401"/>
        <v xml:space="preserve">          </v>
      </c>
      <c r="P1030" t="str">
        <f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1031" spans="1:16" x14ac:dyDescent="0.25">
      <c r="A1031" t="str">
        <f t="shared" si="393"/>
        <v>10</v>
      </c>
      <c r="B1031" t="str">
        <f t="shared" si="402"/>
        <v>25</v>
      </c>
      <c r="C1031" s="1">
        <v>46063</v>
      </c>
      <c r="D1031" t="str">
        <f>CLEAN("8862-00-70")</f>
        <v>8862-00-70</v>
      </c>
      <c r="E1031" t="str">
        <f>CLEAN("205  ")</f>
        <v xml:space="preserve">205  </v>
      </c>
      <c r="F1031" t="str">
        <f>CLEAN("$750,000 - $999,999      ")</f>
        <v xml:space="preserve">$750,000 - $999,999      </v>
      </c>
      <c r="G1031" t="str">
        <f t="shared" si="403"/>
        <v>LET</v>
      </c>
      <c r="H1031" t="str">
        <f t="shared" si="404"/>
        <v xml:space="preserve">LET CONSTRUCTION         </v>
      </c>
      <c r="I1031" t="str">
        <f>CLEAN("CONSTRUCTION/BRIDGE REPLACEMENT    ")</f>
        <v xml:space="preserve">CONSTRUCTION/BRIDGE REPLACEMENT    </v>
      </c>
      <c r="J1031" t="str">
        <f>CLEAN("CTH H  ")</f>
        <v xml:space="preserve">CTH H  </v>
      </c>
      <c r="K1031" t="str">
        <f>CLEAN("POLK                          ")</f>
        <v xml:space="preserve">POLK                          </v>
      </c>
      <c r="L1031" t="str">
        <f>CLEAN("AMERY - CTH I                      ")</f>
        <v xml:space="preserve">AMERY - CTH I                      </v>
      </c>
      <c r="M1031" t="str">
        <f>CLEAN("APPLE RIVER BRIDGE B-48-0062       ")</f>
        <v xml:space="preserve">APPLE RIVER BRIDGE B-48-0062       </v>
      </c>
      <c r="N1031">
        <v>0</v>
      </c>
      <c r="O1031" t="str">
        <f t="shared" si="401"/>
        <v xml:space="preserve">          </v>
      </c>
      <c r="P1031" t="str">
        <f>CLEAN("LOCAL BRIDGES                                                                                       ")</f>
        <v xml:space="preserve">LOCAL BRIDGES                                                                                       </v>
      </c>
    </row>
    <row r="1032" spans="1:16" x14ac:dyDescent="0.25">
      <c r="A1032" t="str">
        <f t="shared" si="393"/>
        <v>10</v>
      </c>
      <c r="B1032" t="str">
        <f t="shared" si="402"/>
        <v>25</v>
      </c>
      <c r="C1032" s="1">
        <v>46000</v>
      </c>
      <c r="D1032" t="str">
        <f>CLEAN("8880-05-76")</f>
        <v>8880-05-76</v>
      </c>
      <c r="E1032" t="str">
        <f>CLEAN("205  ")</f>
        <v xml:space="preserve">205  </v>
      </c>
      <c r="F1032" t="str">
        <f>CLEAN("$500,000 - $749,999      ")</f>
        <v xml:space="preserve">$500,000 - $749,999      </v>
      </c>
      <c r="G1032" t="str">
        <f t="shared" si="403"/>
        <v>LET</v>
      </c>
      <c r="H1032" t="str">
        <f t="shared" si="404"/>
        <v xml:space="preserve">LET CONSTRUCTION         </v>
      </c>
      <c r="I1032" t="str">
        <f>CLEAN("CONSTRUCTION/BRIDGE REPLACEMENT    ")</f>
        <v xml:space="preserve">CONSTRUCTION/BRIDGE REPLACEMENT    </v>
      </c>
      <c r="J1032" t="str">
        <f>CLEAN("CTH A  ")</f>
        <v xml:space="preserve">CTH A  </v>
      </c>
      <c r="K1032" t="str">
        <f>CLEAN("CLARK                         ")</f>
        <v xml:space="preserve">CLARK                         </v>
      </c>
      <c r="L1032" t="str">
        <f>CLEAN("CTH E - DORCHESTER                 ")</f>
        <v xml:space="preserve">CTH E - DORCHESTER                 </v>
      </c>
      <c r="M1032" t="str">
        <f>CLEAN("BR N FORK POPPLE RVR BR B-10-0261  ")</f>
        <v xml:space="preserve">BR N FORK POPPLE RVR BR B-10-0261  </v>
      </c>
      <c r="N1032">
        <v>0</v>
      </c>
      <c r="O1032" t="str">
        <f t="shared" si="401"/>
        <v xml:space="preserve">          </v>
      </c>
      <c r="P1032" t="str">
        <f>CLEAN("LOCAL BRIDGES                                                                                       ")</f>
        <v xml:space="preserve">LOCAL BRIDGES                                                                                       </v>
      </c>
    </row>
    <row r="1033" spans="1:16" x14ac:dyDescent="0.25">
      <c r="A1033" t="str">
        <f t="shared" si="393"/>
        <v>10</v>
      </c>
      <c r="B1033" t="str">
        <f t="shared" si="402"/>
        <v>25</v>
      </c>
      <c r="C1033" s="1">
        <v>46000</v>
      </c>
      <c r="D1033" t="str">
        <f>CLEAN("8881-00-72")</f>
        <v>8881-00-72</v>
      </c>
      <c r="E1033" t="str">
        <f>CLEAN("205  ")</f>
        <v xml:space="preserve">205  </v>
      </c>
      <c r="F1033" t="str">
        <f>CLEAN("$500,000 - $749,999      ")</f>
        <v xml:space="preserve">$500,000 - $749,999      </v>
      </c>
      <c r="G1033" t="str">
        <f t="shared" si="403"/>
        <v>LET</v>
      </c>
      <c r="H1033" t="str">
        <f t="shared" si="404"/>
        <v xml:space="preserve">LET CONSTRUCTION         </v>
      </c>
      <c r="I1033" t="str">
        <f>CLEAN("CONSTRUCTION/BRRPL                 ")</f>
        <v xml:space="preserve">CONSTRUCTION/BRRPL                 </v>
      </c>
      <c r="J1033" t="str">
        <f>CLEAN("LOC STR")</f>
        <v>LOC STR</v>
      </c>
      <c r="K1033" t="str">
        <f>CLEAN("CLARK                         ")</f>
        <v xml:space="preserve">CLARK                         </v>
      </c>
      <c r="L1033" t="str">
        <f>CLEAN("T HOARD, CENTER ROAD               ")</f>
        <v xml:space="preserve">T HOARD, CENTER ROAD               </v>
      </c>
      <c r="M1033" t="str">
        <f>CLEAN("N FK POPPLE RIVER BRIDGE B-10-0267 ")</f>
        <v xml:space="preserve">N FK POPPLE RIVER BRIDGE B-10-0267 </v>
      </c>
      <c r="N1033">
        <v>3.5999999999999997E-2</v>
      </c>
      <c r="O1033" t="str">
        <f t="shared" si="401"/>
        <v xml:space="preserve">          </v>
      </c>
      <c r="P1033" t="str">
        <f>CLEAN("LOCAL BRIDGES                                                                                       ")</f>
        <v xml:space="preserve">LOCAL BRIDGES                                                                                       </v>
      </c>
    </row>
    <row r="1034" spans="1:16" x14ac:dyDescent="0.25">
      <c r="A1034" t="str">
        <f t="shared" si="393"/>
        <v>10</v>
      </c>
      <c r="B1034" t="str">
        <f t="shared" si="402"/>
        <v>25</v>
      </c>
      <c r="C1034" s="1">
        <v>46063</v>
      </c>
      <c r="D1034" t="str">
        <f>CLEAN("8883-00-70")</f>
        <v>8883-00-70</v>
      </c>
      <c r="E1034" t="str">
        <f>CLEAN("205  ")</f>
        <v xml:space="preserve">205  </v>
      </c>
      <c r="F1034" t="str">
        <f>CLEAN("$250,000 - $499,999      ")</f>
        <v xml:space="preserve">$250,000 - $499,999      </v>
      </c>
      <c r="G1034" t="str">
        <f t="shared" si="403"/>
        <v>LET</v>
      </c>
      <c r="H1034" t="str">
        <f t="shared" si="404"/>
        <v xml:space="preserve">LET CONSTRUCTION         </v>
      </c>
      <c r="I1034" t="str">
        <f>CLEAN("CONSTRUCTION/BRIDGE REPLACEMENT    ")</f>
        <v xml:space="preserve">CONSTRUCTION/BRIDGE REPLACEMENT    </v>
      </c>
      <c r="J1034" t="str">
        <f>CLEAN("LOC STR")</f>
        <v>LOC STR</v>
      </c>
      <c r="K1034" t="str">
        <f>CLEAN("CLARK                         ")</f>
        <v xml:space="preserve">CLARK                         </v>
      </c>
      <c r="L1034" t="str">
        <f>CLEAN("T WITHEE, PINE ROAD                ")</f>
        <v xml:space="preserve">T WITHEE, PINE ROAD                </v>
      </c>
      <c r="M1034" t="str">
        <f>CLEAN("S FK EAU CLAIRE R BRIDGE B-10-0262 ")</f>
        <v xml:space="preserve">S FK EAU CLAIRE R BRIDGE B-10-0262 </v>
      </c>
      <c r="N1034">
        <v>0</v>
      </c>
      <c r="O1034" t="str">
        <f t="shared" si="401"/>
        <v xml:space="preserve">          </v>
      </c>
      <c r="P1034" t="str">
        <f>CLEAN("LOCAL BRIDGES                                                                                       ")</f>
        <v xml:space="preserve">LOCAL BRIDGES                                                                                       </v>
      </c>
    </row>
    <row r="1035" spans="1:16" x14ac:dyDescent="0.25">
      <c r="A1035" t="str">
        <f t="shared" si="393"/>
        <v>10</v>
      </c>
      <c r="B1035" t="str">
        <f t="shared" si="402"/>
        <v>25</v>
      </c>
      <c r="C1035" s="1">
        <v>46035</v>
      </c>
      <c r="D1035" t="str">
        <f>CLEAN("8884-00-73")</f>
        <v>8884-00-73</v>
      </c>
      <c r="E1035" t="str">
        <f>CLEAN("205  ")</f>
        <v xml:space="preserve">205  </v>
      </c>
      <c r="F1035" t="str">
        <f>CLEAN("$500,000 - $749,999      ")</f>
        <v xml:space="preserve">$500,000 - $749,999      </v>
      </c>
      <c r="G1035" t="str">
        <f t="shared" si="403"/>
        <v>LET</v>
      </c>
      <c r="H1035" t="str">
        <f t="shared" si="404"/>
        <v xml:space="preserve">LET CONSTRUCTION         </v>
      </c>
      <c r="I1035" t="str">
        <f>CLEAN("CONSTRUCTION/BRRPL                 ")</f>
        <v xml:space="preserve">CONSTRUCTION/BRRPL                 </v>
      </c>
      <c r="J1035" t="str">
        <f>CLEAN("LOC STR")</f>
        <v>LOC STR</v>
      </c>
      <c r="K1035" t="str">
        <f>CLEAN("CLARK                         ")</f>
        <v xml:space="preserve">CLARK                         </v>
      </c>
      <c r="L1035" t="str">
        <f>CLEAN("T THORP, PINE ROAD                 ")</f>
        <v xml:space="preserve">T THORP, PINE ROAD                 </v>
      </c>
      <c r="M1035" t="str">
        <f>CLEAN("ROGER CREEK BRIDGE B-10-0268       ")</f>
        <v xml:space="preserve">ROGER CREEK BRIDGE B-10-0268       </v>
      </c>
      <c r="N1035">
        <v>0</v>
      </c>
      <c r="O1035" t="str">
        <f t="shared" si="401"/>
        <v xml:space="preserve">          </v>
      </c>
      <c r="P1035" t="str">
        <f>CLEAN("LOCAL BRIDGES                                                                                       ")</f>
        <v xml:space="preserve">LOCAL BRIDGES                                                                                       </v>
      </c>
    </row>
    <row r="1036" spans="1:16" x14ac:dyDescent="0.25">
      <c r="A1036" t="str">
        <f t="shared" si="393"/>
        <v>10</v>
      </c>
      <c r="B1036" t="str">
        <f t="shared" si="402"/>
        <v>25</v>
      </c>
      <c r="C1036" s="1">
        <v>45986</v>
      </c>
      <c r="D1036" t="str">
        <f>CLEAN("8887-03-51")</f>
        <v>8887-03-51</v>
      </c>
      <c r="E1036" t="str">
        <f>CLEAN("206  ")</f>
        <v xml:space="preserve">206  </v>
      </c>
      <c r="F1036" t="str">
        <f>CLEAN("$100,000-$249,999        ")</f>
        <v xml:space="preserve">$100,000-$249,999        </v>
      </c>
      <c r="G1036" t="str">
        <f>CLEAN("R/R")</f>
        <v>R/R</v>
      </c>
      <c r="H1036" t="str">
        <f>CLEAN("NONLET CONSTR/REAL ESTATE")</f>
        <v>NONLET CONSTR/REAL ESTATE</v>
      </c>
      <c r="I1036" t="str">
        <f>CLEAN("R/R OPS/RR XING SURFACE            ")</f>
        <v xml:space="preserve">R/R OPS/RR XING SURFACE            </v>
      </c>
      <c r="J1036" t="str">
        <f>CLEAN("CTH A  ")</f>
        <v xml:space="preserve">CTH A  </v>
      </c>
      <c r="K1036" t="str">
        <f>CLEAN("TAYLOR                        ")</f>
        <v xml:space="preserve">TAYLOR                        </v>
      </c>
      <c r="L1036" t="str">
        <f>CLEAN("LUBLIN - STETSONVILLE              ")</f>
        <v xml:space="preserve">LUBLIN - STETSONVILLE              </v>
      </c>
      <c r="M1036" t="str">
        <f>CLEAN("FVLS XING 699475A                  ")</f>
        <v xml:space="preserve">FVLS XING 699475A                  </v>
      </c>
      <c r="N1036">
        <v>0</v>
      </c>
      <c r="O1036" t="str">
        <f t="shared" si="401"/>
        <v xml:space="preserve">          </v>
      </c>
      <c r="P1036" t="str">
        <f>CLEAN("STP RURAL                                                                                           ")</f>
        <v xml:space="preserve">STP RURAL                                                                                           </v>
      </c>
    </row>
    <row r="1037" spans="1:16" x14ac:dyDescent="0.25">
      <c r="A1037" t="str">
        <f t="shared" si="393"/>
        <v>10</v>
      </c>
      <c r="B1037" t="str">
        <f t="shared" si="402"/>
        <v>25</v>
      </c>
      <c r="C1037" s="1">
        <v>45986</v>
      </c>
      <c r="D1037" t="str">
        <f>CLEAN("8887-03-52")</f>
        <v>8887-03-52</v>
      </c>
      <c r="E1037" t="str">
        <f>CLEAN("206  ")</f>
        <v xml:space="preserve">206  </v>
      </c>
      <c r="F1037" t="str">
        <f>CLEAN("$100,000-$249,999        ")</f>
        <v xml:space="preserve">$100,000-$249,999        </v>
      </c>
      <c r="G1037" t="str">
        <f>CLEAN("R/R")</f>
        <v>R/R</v>
      </c>
      <c r="H1037" t="str">
        <f>CLEAN("NONLET CONSTR/REAL ESTATE")</f>
        <v>NONLET CONSTR/REAL ESTATE</v>
      </c>
      <c r="I1037" t="str">
        <f>CLEAN("R/R OPS/SIGNAL UPGRADES            ")</f>
        <v xml:space="preserve">R/R OPS/SIGNAL UPGRADES            </v>
      </c>
      <c r="J1037" t="str">
        <f>CLEAN("CTH A  ")</f>
        <v xml:space="preserve">CTH A  </v>
      </c>
      <c r="K1037" t="str">
        <f>CLEAN("TAYLOR                        ")</f>
        <v xml:space="preserve">TAYLOR                        </v>
      </c>
      <c r="L1037" t="str">
        <f>CLEAN("LUBLIN - STETSONVILLE              ")</f>
        <v xml:space="preserve">LUBLIN - STETSONVILLE              </v>
      </c>
      <c r="M1037" t="str">
        <f>CLEAN("FVLS XING 699475A                  ")</f>
        <v xml:space="preserve">FVLS XING 699475A                  </v>
      </c>
      <c r="N1037">
        <v>0</v>
      </c>
      <c r="O1037" t="str">
        <f t="shared" si="401"/>
        <v xml:space="preserve">          </v>
      </c>
      <c r="P1037" t="str">
        <f>CLEAN("STP RURAL                                                                                           ")</f>
        <v xml:space="preserve">STP RURAL                                                                                           </v>
      </c>
    </row>
    <row r="1038" spans="1:16" x14ac:dyDescent="0.25">
      <c r="A1038" t="str">
        <f t="shared" si="393"/>
        <v>10</v>
      </c>
      <c r="B1038" t="str">
        <f t="shared" si="402"/>
        <v>25</v>
      </c>
      <c r="C1038" s="1">
        <v>45944</v>
      </c>
      <c r="D1038" t="str">
        <f>CLEAN("8890-00-74")</f>
        <v>8890-00-74</v>
      </c>
      <c r="E1038" t="str">
        <f>CLEAN("206  ")</f>
        <v xml:space="preserve">206  </v>
      </c>
      <c r="F1038" t="str">
        <f>CLEAN("$1,000,000 - $1,999,999  ")</f>
        <v xml:space="preserve">$1,000,000 - $1,999,999  </v>
      </c>
      <c r="G1038" t="str">
        <f>CLEAN("LET")</f>
        <v>LET</v>
      </c>
      <c r="H1038" t="str">
        <f>CLEAN("LET CONSTRUCTION         ")</f>
        <v xml:space="preserve">LET CONSTRUCTION         </v>
      </c>
      <c r="I1038" t="str">
        <f>CLEAN("CONSTRUCTION/PVRPLA                ")</f>
        <v xml:space="preserve">CONSTRUCTION/PVRPLA                </v>
      </c>
      <c r="J1038" t="str">
        <f>CLEAN("CTH Q  ")</f>
        <v xml:space="preserve">CTH Q  </v>
      </c>
      <c r="K1038" t="str">
        <f>CLEAN("TAYLOR                        ")</f>
        <v xml:space="preserve">TAYLOR                        </v>
      </c>
      <c r="L1038" t="str">
        <f>CLEAN("STETSONVILLE - STH 64              ")</f>
        <v xml:space="preserve">STETSONVILLE - STH 64              </v>
      </c>
      <c r="M1038" t="str">
        <f>CLEAN("CTH O TO STH 64                    ")</f>
        <v xml:space="preserve">CTH O TO STH 64                    </v>
      </c>
      <c r="N1038">
        <v>1.4510000000000001</v>
      </c>
      <c r="O1038" t="str">
        <f t="shared" si="401"/>
        <v xml:space="preserve">          </v>
      </c>
      <c r="P1038" t="str">
        <f>CLEAN("STP RURAL                                                                                           ")</f>
        <v xml:space="preserve">STP RURAL                                                                                           </v>
      </c>
    </row>
    <row r="1039" spans="1:16" x14ac:dyDescent="0.25">
      <c r="A1039" t="str">
        <f t="shared" si="393"/>
        <v>10</v>
      </c>
      <c r="B1039" t="str">
        <f t="shared" si="402"/>
        <v>25</v>
      </c>
      <c r="C1039" s="1">
        <v>46035</v>
      </c>
      <c r="D1039" t="str">
        <f>CLEAN("8907-00-73")</f>
        <v>8907-00-73</v>
      </c>
      <c r="E1039" t="str">
        <f>CLEAN("205  ")</f>
        <v xml:space="preserve">205  </v>
      </c>
      <c r="F1039" t="str">
        <f>CLEAN("$250,000 - $499,999      ")</f>
        <v xml:space="preserve">$250,000 - $499,999      </v>
      </c>
      <c r="G1039" t="str">
        <f>CLEAN("LET")</f>
        <v>LET</v>
      </c>
      <c r="H1039" t="str">
        <f>CLEAN("LET CONSTRUCTION         ")</f>
        <v xml:space="preserve">LET CONSTRUCTION         </v>
      </c>
      <c r="I1039" t="str">
        <f>CLEAN("CONSTRUCTION/BRRPL                 ")</f>
        <v xml:space="preserve">CONSTRUCTION/BRRPL                 </v>
      </c>
      <c r="J1039" t="str">
        <f>CLEAN("LOC STR")</f>
        <v>LOC STR</v>
      </c>
      <c r="K1039" t="str">
        <f>CLEAN("CHIPPEWA                      ")</f>
        <v xml:space="preserve">CHIPPEWA                      </v>
      </c>
      <c r="L1039" t="str">
        <f>CLEAN("T BLOOMER, 205TH AVE               ")</f>
        <v xml:space="preserve">T BLOOMER, 205TH AVE               </v>
      </c>
      <c r="M1039" t="str">
        <f>CLEAN("MCCANN CREEK BRIDGE B-09-0319      ")</f>
        <v xml:space="preserve">MCCANN CREEK BRIDGE B-09-0319      </v>
      </c>
      <c r="N1039">
        <v>6.0000000000000001E-3</v>
      </c>
      <c r="O1039" t="str">
        <f t="shared" si="401"/>
        <v xml:space="preserve">          </v>
      </c>
      <c r="P1039" t="str">
        <f>CLEAN("LOCAL BRIDGES                                                                                       ")</f>
        <v xml:space="preserve">LOCAL BRIDGES                                                                                       </v>
      </c>
    </row>
    <row r="1040" spans="1:16" x14ac:dyDescent="0.25">
      <c r="A1040" t="str">
        <f t="shared" si="393"/>
        <v>10</v>
      </c>
      <c r="B1040" t="str">
        <f t="shared" si="402"/>
        <v>25</v>
      </c>
      <c r="C1040" s="1">
        <v>46198</v>
      </c>
      <c r="D1040" t="str">
        <f>CLEAN("8907-01-52")</f>
        <v>8907-01-52</v>
      </c>
      <c r="E1040" t="str">
        <f>CLEAN("207  ")</f>
        <v xml:space="preserve">207  </v>
      </c>
      <c r="F1040" t="str">
        <f>CLEAN("$250,000 - $499,999      ")</f>
        <v xml:space="preserve">$250,000 - $499,999      </v>
      </c>
      <c r="G1040" t="str">
        <f>CLEAN("R/R")</f>
        <v>R/R</v>
      </c>
      <c r="H1040" t="str">
        <f>CLEAN("NONLET CONSTR/REAL ESTATE")</f>
        <v>NONLET CONSTR/REAL ESTATE</v>
      </c>
      <c r="I1040" t="str">
        <f>CLEAN("R/R OPS/SAFETY RAIL WARNING DEVICES")</f>
        <v>R/R OPS/SAFETY RAIL WARNING DEVICES</v>
      </c>
      <c r="J1040" t="str">
        <f>CLEAN("LOC STR")</f>
        <v>LOC STR</v>
      </c>
      <c r="K1040" t="str">
        <f>CLEAN("CHIPPEWA                      ")</f>
        <v xml:space="preserve">CHIPPEWA                      </v>
      </c>
      <c r="L1040" t="str">
        <f>CLEAN("C BLOOMER, 13TH AVENUE             ")</f>
        <v xml:space="preserve">C BLOOMER, 13TH AVENUE             </v>
      </c>
      <c r="M1040" t="str">
        <f>CLEAN("WN RR XING 186014X                 ")</f>
        <v xml:space="preserve">WN RR XING 186014X                 </v>
      </c>
      <c r="N1040">
        <v>0</v>
      </c>
      <c r="O1040" t="str">
        <f t="shared" si="401"/>
        <v xml:space="preserve">          </v>
      </c>
      <c r="P1040" t="str">
        <f>CLEAN("SAFETY - RAILROAD WARNING DEVICES                                                                   ")</f>
        <v xml:space="preserve">SAFETY - RAILROAD WARNING DEVICES                                                                   </v>
      </c>
    </row>
    <row r="1041" spans="1:16" x14ac:dyDescent="0.25">
      <c r="A1041" t="str">
        <f t="shared" si="393"/>
        <v>10</v>
      </c>
      <c r="B1041" t="str">
        <f t="shared" si="402"/>
        <v>25</v>
      </c>
      <c r="C1041" s="1">
        <v>46063</v>
      </c>
      <c r="D1041" t="str">
        <f>CLEAN("8908-03-71")</f>
        <v>8908-03-71</v>
      </c>
      <c r="E1041" t="str">
        <f>CLEAN("206  ")</f>
        <v xml:space="preserve">206  </v>
      </c>
      <c r="F1041" t="str">
        <f>CLEAN("$100,000-$249,999        ")</f>
        <v xml:space="preserve">$100,000-$249,999        </v>
      </c>
      <c r="G1041" t="str">
        <f>CLEAN("LET")</f>
        <v>LET</v>
      </c>
      <c r="H1041" t="str">
        <f>CLEAN("LET CONSTRUCTION         ")</f>
        <v xml:space="preserve">LET CONSTRUCTION         </v>
      </c>
      <c r="I1041" t="str">
        <f>CLEAN("CONSTRUCTION/SAFETY                ")</f>
        <v xml:space="preserve">CONSTRUCTION/SAFETY                </v>
      </c>
      <c r="J1041" t="str">
        <f>CLEAN("CTH CC ")</f>
        <v xml:space="preserve">CTH CC </v>
      </c>
      <c r="K1041" t="str">
        <f>CLEAN("CHIPPEWA                      ")</f>
        <v xml:space="preserve">CHIPPEWA                      </v>
      </c>
      <c r="L1041" t="str">
        <f>CLEAN("STH 64 - CTH M                     ")</f>
        <v xml:space="preserve">STH 64 - CTH M                     </v>
      </c>
      <c r="M1041" t="str">
        <f>CLEAN("STH 64 TO CTH M                    ")</f>
        <v xml:space="preserve">STH 64 TO CTH M                    </v>
      </c>
      <c r="N1041">
        <v>5.3</v>
      </c>
      <c r="O1041" t="str">
        <f t="shared" si="401"/>
        <v xml:space="preserve">          </v>
      </c>
      <c r="P1041" t="str">
        <f>CLEAN("SAFETY - HIGH RISK RURAL ROADS                                                                      ")</f>
        <v xml:space="preserve">SAFETY - HIGH RISK RURAL ROADS                                                                      </v>
      </c>
    </row>
    <row r="1042" spans="1:16" x14ac:dyDescent="0.25">
      <c r="A1042" t="str">
        <f t="shared" si="393"/>
        <v>10</v>
      </c>
      <c r="B1042" t="str">
        <f t="shared" si="402"/>
        <v>25</v>
      </c>
      <c r="C1042" s="1">
        <v>45972</v>
      </c>
      <c r="D1042" t="str">
        <f>CLEAN("8925-03-72")</f>
        <v>8925-03-72</v>
      </c>
      <c r="E1042" t="str">
        <f>CLEAN("205  ")</f>
        <v xml:space="preserve">205  </v>
      </c>
      <c r="F1042" t="str">
        <f>CLEAN("$250,000 - $499,999      ")</f>
        <v xml:space="preserve">$250,000 - $499,999      </v>
      </c>
      <c r="G1042" t="str">
        <f>CLEAN("LET")</f>
        <v>LET</v>
      </c>
      <c r="H1042" t="str">
        <f>CLEAN("LET CONSTRUCTION         ")</f>
        <v xml:space="preserve">LET CONSTRUCTION         </v>
      </c>
      <c r="I1042" t="str">
        <f>CLEAN("CONSTRUCTION/BRRPL                 ")</f>
        <v xml:space="preserve">CONSTRUCTION/BRRPL                 </v>
      </c>
      <c r="J1042" t="str">
        <f>CLEAN("CTH Q  ")</f>
        <v xml:space="preserve">CTH Q  </v>
      </c>
      <c r="K1042" t="str">
        <f>CLEAN("DUNN                          ")</f>
        <v xml:space="preserve">DUNN                          </v>
      </c>
      <c r="L1042" t="str">
        <f>CLEAN("KNAPP - DOWNING                    ")</f>
        <v xml:space="preserve">KNAPP - DOWNING                    </v>
      </c>
      <c r="M1042" t="str">
        <f>CLEAN("NB WILSON CREEK BRIDGE B-17-0240   ")</f>
        <v xml:space="preserve">NB WILSON CREEK BRIDGE B-17-0240   </v>
      </c>
      <c r="N1042">
        <v>0.05</v>
      </c>
      <c r="O1042" t="str">
        <f t="shared" si="401"/>
        <v xml:space="preserve">          </v>
      </c>
      <c r="P1042" t="str">
        <f>CLEAN("LOCAL BRIDGES                                                                                       ")</f>
        <v xml:space="preserve">LOCAL BRIDGES                                                                                       </v>
      </c>
    </row>
    <row r="1043" spans="1:16" x14ac:dyDescent="0.25">
      <c r="A1043" t="str">
        <f t="shared" si="393"/>
        <v>10</v>
      </c>
      <c r="B1043" t="str">
        <f t="shared" si="402"/>
        <v>25</v>
      </c>
      <c r="C1043" s="1">
        <v>45925</v>
      </c>
      <c r="D1043" t="str">
        <f>CLEAN("8938-00-71")</f>
        <v>8938-00-71</v>
      </c>
      <c r="E1043" t="str">
        <f>CLEAN("290  ")</f>
        <v xml:space="preserve">290  </v>
      </c>
      <c r="F1043" t="str">
        <f>CLEAN("$1,000,000 - $1,999,999  ")</f>
        <v xml:space="preserve">$1,000,000 - $1,999,999  </v>
      </c>
      <c r="G1043" t="str">
        <f>CLEAN("LLC")</f>
        <v>LLC</v>
      </c>
      <c r="H1043" t="str">
        <f>CLEAN("NONLET CONSTR/REAL ESTATE")</f>
        <v>NONLET CONSTR/REAL ESTATE</v>
      </c>
      <c r="I1043" t="str">
        <f>CLEAN("CONSTR/BIKE &amp; PED TRAIL TAP PROGRAM")</f>
        <v>CONSTR/BIKE &amp; PED TRAIL TAP PROGRAM</v>
      </c>
      <c r="J1043" t="str">
        <f>CLEAN("NON HWY")</f>
        <v>NON HWY</v>
      </c>
      <c r="K1043" t="str">
        <f>CLEAN("ST. CROIX                     ")</f>
        <v xml:space="preserve">ST. CROIX                     </v>
      </c>
      <c r="L1043" t="str">
        <f>CLEAN("V SOMERSET, SOMERSET TRAIL         ")</f>
        <v xml:space="preserve">V SOMERSET, SOMERSET TRAIL         </v>
      </c>
      <c r="M1043" t="str">
        <f>CLEAN("SIDEWALKS ON VARIOUS STREETS       ")</f>
        <v xml:space="preserve">SIDEWALKS ON VARIOUS STREETS       </v>
      </c>
      <c r="N1043">
        <v>0</v>
      </c>
      <c r="O1043" t="str">
        <f t="shared" si="401"/>
        <v xml:space="preserve">          </v>
      </c>
      <c r="P1043" t="str">
        <f>CLEAN("TAP &lt; 5,000                                                                                         ")</f>
        <v xml:space="preserve">TAP &lt; 5,000                                                                                         </v>
      </c>
    </row>
    <row r="1044" spans="1:16" x14ac:dyDescent="0.25">
      <c r="A1044" t="str">
        <f t="shared" si="393"/>
        <v>10</v>
      </c>
      <c r="B1044" t="str">
        <f t="shared" si="402"/>
        <v>25</v>
      </c>
      <c r="C1044" s="1">
        <v>46016</v>
      </c>
      <c r="D1044" t="str">
        <f>CLEAN("8941-05-72")</f>
        <v>8941-05-72</v>
      </c>
      <c r="E1044" t="str">
        <f>CLEAN("290  ")</f>
        <v xml:space="preserve">290  </v>
      </c>
      <c r="F1044" t="str">
        <f>CLEAN("$1,000,000 - $1,999,999  ")</f>
        <v xml:space="preserve">$1,000,000 - $1,999,999  </v>
      </c>
      <c r="G1044" t="str">
        <f>CLEAN("LLC")</f>
        <v>LLC</v>
      </c>
      <c r="H1044" t="str">
        <f>CLEAN("NONLET CONSTR/REAL ESTATE")</f>
        <v>NONLET CONSTR/REAL ESTATE</v>
      </c>
      <c r="I1044" t="str">
        <f>CLEAN("CONSTR/BIKE &amp; PED TRAIL TAP PROGRAM")</f>
        <v>CONSTR/BIKE &amp; PED TRAIL TAP PROGRAM</v>
      </c>
      <c r="J1044" t="str">
        <f>CLEAN("NON HWY")</f>
        <v>NON HWY</v>
      </c>
      <c r="K1044" t="str">
        <f>CLEAN("ST. CROIX                     ")</f>
        <v xml:space="preserve">ST. CROIX                     </v>
      </c>
      <c r="L1044" t="str">
        <f>CLEAN("C NEW RICHMOND, OFF RD TRAIL       ")</f>
        <v xml:space="preserve">C NEW RICHMOND, OFF RD TRAIL       </v>
      </c>
      <c r="M1044" t="str">
        <f>CLEAN("PARK AVENUE TO PRAIRIE ROAD        ")</f>
        <v xml:space="preserve">PARK AVENUE TO PRAIRIE ROAD        </v>
      </c>
      <c r="N1044">
        <v>0</v>
      </c>
      <c r="O1044" t="str">
        <f t="shared" si="401"/>
        <v xml:space="preserve">          </v>
      </c>
      <c r="P1044" t="str">
        <f>CLEAN("TAP 5,000 - 50,000                                                                                  ")</f>
        <v xml:space="preserve">TAP 5,000 - 50,000                                                                                  </v>
      </c>
    </row>
    <row r="1045" spans="1:16" x14ac:dyDescent="0.25">
      <c r="A1045" t="str">
        <f t="shared" si="393"/>
        <v>10</v>
      </c>
      <c r="B1045" t="str">
        <f t="shared" si="402"/>
        <v>25</v>
      </c>
      <c r="C1045" s="1">
        <v>45925</v>
      </c>
      <c r="D1045" t="str">
        <f>CLEAN("8949-00-28")</f>
        <v>8949-00-28</v>
      </c>
      <c r="E1045" t="str">
        <f>CLEAN("303  ")</f>
        <v xml:space="preserve">303  </v>
      </c>
      <c r="F1045" t="str">
        <f>CLEAN("$0 - $99,999             ")</f>
        <v xml:space="preserve">$0 - $99,999             </v>
      </c>
      <c r="G1045" t="str">
        <f>CLEAN("R/E")</f>
        <v>R/E</v>
      </c>
      <c r="H1045" t="str">
        <f>CLEAN("NONLET CONSTR/REAL ESTATE")</f>
        <v>NONLET CONSTR/REAL ESTATE</v>
      </c>
      <c r="I1045" t="str">
        <f>CLEAN("REAL ESTATE ACQUISITION            ")</f>
        <v xml:space="preserve">REAL ESTATE ACQUISITION            </v>
      </c>
      <c r="J1045" t="str">
        <f>CLEAN("USH 012")</f>
        <v>USH 012</v>
      </c>
      <c r="K1045" t="str">
        <f>CLEAN("DUNN                          ")</f>
        <v xml:space="preserve">DUNN                          </v>
      </c>
      <c r="L1045" t="str">
        <f>CLEAN("BALDWIN - MENOMONIE                ")</f>
        <v xml:space="preserve">BALDWIN - MENOMONIE                </v>
      </c>
      <c r="M1045" t="str">
        <f>CLEAN("WILSON CREEK BRIDGE B-17-0979      ")</f>
        <v xml:space="preserve">WILSON CREEK BRIDGE B-17-0979      </v>
      </c>
      <c r="N1045">
        <v>0</v>
      </c>
      <c r="O1045" t="str">
        <f t="shared" si="401"/>
        <v xml:space="preserve">          </v>
      </c>
      <c r="P1045" t="str">
        <f>CLEAN("SHR BRIDGES                                                                                         ")</f>
        <v xml:space="preserve">SHR BRIDGES                                                                                         </v>
      </c>
    </row>
    <row r="1046" spans="1:16" x14ac:dyDescent="0.25">
      <c r="A1046" t="str">
        <f t="shared" si="393"/>
        <v>10</v>
      </c>
      <c r="B1046" t="str">
        <f t="shared" si="402"/>
        <v>25</v>
      </c>
      <c r="C1046" s="1">
        <v>45972</v>
      </c>
      <c r="D1046" t="str">
        <f>CLEAN("8949-00-73")</f>
        <v>8949-00-73</v>
      </c>
      <c r="E1046" t="str">
        <f>CLEAN("303  ")</f>
        <v xml:space="preserve">303  </v>
      </c>
      <c r="F1046" t="str">
        <f>CLEAN("$750,000 - $999,999      ")</f>
        <v xml:space="preserve">$750,000 - $999,999      </v>
      </c>
      <c r="G1046" t="str">
        <f>CLEAN("LET")</f>
        <v>LET</v>
      </c>
      <c r="H1046" t="str">
        <f>CLEAN("LET CONSTRUCTION         ")</f>
        <v xml:space="preserve">LET CONSTRUCTION         </v>
      </c>
      <c r="I1046" t="str">
        <f>CLEAN("CONSTR/BRIDGE REHABILITATION       ")</f>
        <v xml:space="preserve">CONSTR/BRIDGE REHABILITATION       </v>
      </c>
      <c r="J1046" t="str">
        <f>CLEAN("USH 012")</f>
        <v>USH 012</v>
      </c>
      <c r="K1046" t="str">
        <f>CLEAN("ST. CROIX                     ")</f>
        <v xml:space="preserve">ST. CROIX                     </v>
      </c>
      <c r="L1046" t="str">
        <f>CLEAN("HUDSON - BALDWIN                   ")</f>
        <v xml:space="preserve">HUDSON - BALDWIN                   </v>
      </c>
      <c r="M1046" t="str">
        <f>CLEAN("CNW RR BRIDGE B-55-0076            ")</f>
        <v xml:space="preserve">CNW RR BRIDGE B-55-0076            </v>
      </c>
      <c r="N1046">
        <v>5.7000000000000002E-2</v>
      </c>
      <c r="O1046" t="str">
        <f t="shared" si="401"/>
        <v xml:space="preserve">          </v>
      </c>
      <c r="P1046" t="str">
        <f>CLEAN("SHR BRIDGES                                                                                         ")</f>
        <v xml:space="preserve">SHR BRIDGES                                                                                         </v>
      </c>
    </row>
    <row r="1047" spans="1:16" x14ac:dyDescent="0.25">
      <c r="A1047" t="str">
        <f t="shared" si="393"/>
        <v>10</v>
      </c>
      <c r="B1047" t="str">
        <f t="shared" si="402"/>
        <v>25</v>
      </c>
      <c r="C1047" s="1">
        <v>45972</v>
      </c>
      <c r="D1047" t="str">
        <f>CLEAN("8995-00-16")</f>
        <v>8995-00-16</v>
      </c>
      <c r="E1047" t="str">
        <f>CLEAN("206  ")</f>
        <v xml:space="preserve">206  </v>
      </c>
      <c r="F1047" t="str">
        <f>CLEAN("$1,000,000 - $1,999,999  ")</f>
        <v xml:space="preserve">$1,000,000 - $1,999,999  </v>
      </c>
      <c r="G1047" t="str">
        <f>CLEAN("LET")</f>
        <v>LET</v>
      </c>
      <c r="H1047" t="str">
        <f>CLEAN("LET CONSTRUCTION         ")</f>
        <v xml:space="preserve">LET CONSTRUCTION         </v>
      </c>
      <c r="I1047" t="str">
        <f>CLEAN("CONSTRUCTION/RECONSTRUCTION        ")</f>
        <v xml:space="preserve">CONSTRUCTION/RECONSTRUCTION        </v>
      </c>
      <c r="J1047" t="str">
        <f>CLEAN("LOC STR")</f>
        <v>LOC STR</v>
      </c>
      <c r="K1047" t="str">
        <f>CLEAN("ASHLAND                       ")</f>
        <v xml:space="preserve">ASHLAND                       </v>
      </c>
      <c r="L1047" t="str">
        <f>CLEAN("C ASHLAND, PRENTICE AVENUE         ")</f>
        <v xml:space="preserve">C ASHLAND, PRENTICE AVENUE         </v>
      </c>
      <c r="M1047" t="str">
        <f>CLEAN("LAKE SHORE DRIVE TO 6TH STREET E   ")</f>
        <v xml:space="preserve">LAKE SHORE DRIVE TO 6TH STREET E   </v>
      </c>
      <c r="N1047">
        <v>0.32800000000000001</v>
      </c>
      <c r="O1047" t="str">
        <f t="shared" si="401"/>
        <v xml:space="preserve">          </v>
      </c>
      <c r="P1047" t="str">
        <f>CLEAN("STP URBAN 5,000 - 20,000                                                                            ")</f>
        <v xml:space="preserve">STP URBAN 5,000 - 20,000                                                                            </v>
      </c>
    </row>
    <row r="1048" spans="1:16" x14ac:dyDescent="0.25">
      <c r="A1048" t="str">
        <f t="shared" si="393"/>
        <v>10</v>
      </c>
      <c r="B1048" t="str">
        <f t="shared" si="402"/>
        <v>25</v>
      </c>
      <c r="C1048" s="1">
        <v>45986</v>
      </c>
      <c r="D1048" t="str">
        <f>CLEAN("9000-00-26")</f>
        <v>9000-00-26</v>
      </c>
      <c r="E1048" t="str">
        <f>CLEAN("303  ")</f>
        <v xml:space="preserve">303  </v>
      </c>
      <c r="F1048" t="str">
        <f>CLEAN("$0 - $99,999             ")</f>
        <v xml:space="preserve">$0 - $99,999             </v>
      </c>
      <c r="G1048" t="str">
        <f>CLEAN("R/E")</f>
        <v>R/E</v>
      </c>
      <c r="H1048" t="str">
        <f>CLEAN("NONLET CONSTR/REAL ESTATE")</f>
        <v>NONLET CONSTR/REAL ESTATE</v>
      </c>
      <c r="I1048" t="str">
        <f>CLEAN("REAL ESTATE ACQUISITION/ 9000-00-76")</f>
        <v>REAL ESTATE ACQUISITION/ 9000-00-76</v>
      </c>
      <c r="J1048" t="str">
        <f>CLEAN("STH 064")</f>
        <v>STH 064</v>
      </c>
      <c r="K1048" t="str">
        <f>CLEAN("TAYLOR                        ")</f>
        <v xml:space="preserve">TAYLOR                        </v>
      </c>
      <c r="L1048" t="str">
        <f>CLEAN("MEDFORD - MERRILL                  ")</f>
        <v xml:space="preserve">MEDFORD - MERRILL                  </v>
      </c>
      <c r="M1048" t="str">
        <f>CLEAN("STH 13 TO LINCOLN COUNTY LINE      ")</f>
        <v xml:space="preserve">STH 13 TO LINCOLN COUNTY LINE      </v>
      </c>
      <c r="N1048">
        <v>0</v>
      </c>
      <c r="O1048" t="str">
        <f t="shared" si="401"/>
        <v xml:space="preserve">          </v>
      </c>
      <c r="P1048" t="str">
        <f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1049" spans="1:16" x14ac:dyDescent="0.25">
      <c r="A1049" t="str">
        <f t="shared" si="393"/>
        <v>10</v>
      </c>
      <c r="B1049" t="str">
        <f>CLEAN("24")</f>
        <v>24</v>
      </c>
      <c r="C1049" s="1">
        <v>46000</v>
      </c>
      <c r="D1049" t="str">
        <f>CLEAN("9030-07-82")</f>
        <v>9030-07-82</v>
      </c>
      <c r="E1049" t="str">
        <f>CLEAN("303  ")</f>
        <v xml:space="preserve">303  </v>
      </c>
      <c r="F1049" t="str">
        <f>CLEAN("$1,000,000 - $1,999,999  ")</f>
        <v xml:space="preserve">$1,000,000 - $1,999,999  </v>
      </c>
      <c r="G1049" t="str">
        <f>CLEAN("LET")</f>
        <v>LET</v>
      </c>
      <c r="H1049" t="str">
        <f>CLEAN("LET CONSTRUCTION         ")</f>
        <v xml:space="preserve">LET CONSTRUCTION         </v>
      </c>
      <c r="I1049" t="str">
        <f>CLEAN("CONST/REPLACEMENT                  ")</f>
        <v xml:space="preserve">CONST/REPLACEMENT                  </v>
      </c>
      <c r="J1049" t="str">
        <f>CLEAN("STH 017")</f>
        <v>STH 017</v>
      </c>
      <c r="K1049" t="str">
        <f>CLEAN("LINCOLN                       ")</f>
        <v xml:space="preserve">LINCOLN                       </v>
      </c>
      <c r="L1049" t="str">
        <f>CLEAN("MERRILL - RHINELANDER              ")</f>
        <v xml:space="preserve">MERRILL - RHINELANDER              </v>
      </c>
      <c r="M1049" t="str">
        <f>CLEAN("BARNES CREEK BRIDGE B-35-0163      ")</f>
        <v xml:space="preserve">BARNES CREEK BRIDGE B-35-0163      </v>
      </c>
      <c r="N1049">
        <v>0</v>
      </c>
      <c r="O1049" t="str">
        <f t="shared" si="401"/>
        <v xml:space="preserve">          </v>
      </c>
      <c r="P1049" t="str">
        <f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1050" spans="1:16" x14ac:dyDescent="0.25">
      <c r="A1050" t="str">
        <f t="shared" si="393"/>
        <v>10</v>
      </c>
      <c r="B1050" t="str">
        <f>CLEAN("23")</f>
        <v>23</v>
      </c>
      <c r="C1050" s="1">
        <v>46000</v>
      </c>
      <c r="D1050" t="str">
        <f>CLEAN("9068-00-01")</f>
        <v>9068-00-01</v>
      </c>
      <c r="E1050" t="str">
        <f>CLEAN("205  ")</f>
        <v xml:space="preserve">205  </v>
      </c>
      <c r="F1050" t="str">
        <f>CLEAN("$250,000 - $499,999      ")</f>
        <v xml:space="preserve">$250,000 - $499,999      </v>
      </c>
      <c r="G1050" t="str">
        <f>CLEAN("LET")</f>
        <v>LET</v>
      </c>
      <c r="H1050" t="str">
        <f>CLEAN("LET CONSTRUCTION         ")</f>
        <v xml:space="preserve">LET CONSTRUCTION         </v>
      </c>
      <c r="I1050" t="str">
        <f>CLEAN("CONST OPS/BRBPL/B420137            ")</f>
        <v xml:space="preserve">CONST OPS/BRBPL/B420137            </v>
      </c>
      <c r="J1050" t="str">
        <f>CLEAN("LOC STR")</f>
        <v>LOC STR</v>
      </c>
      <c r="K1050" t="str">
        <f>CLEAN("OCONTO                        ")</f>
        <v xml:space="preserve">OCONTO                        </v>
      </c>
      <c r="L1050" t="str">
        <f>CLEAN("T HOW, PECORE ROAD                 ")</f>
        <v xml:space="preserve">T HOW, PECORE ROAD                 </v>
      </c>
      <c r="M1050" t="str">
        <f>CLEAN("PECORE CREEK BRIDGE                ")</f>
        <v xml:space="preserve">PECORE CREEK BRIDGE                </v>
      </c>
      <c r="N1050">
        <v>0.03</v>
      </c>
      <c r="O1050" t="str">
        <f t="shared" si="401"/>
        <v xml:space="preserve">          </v>
      </c>
      <c r="P1050" t="str">
        <f>CLEAN("LOCAL BRIDGES                                                                                       ")</f>
        <v xml:space="preserve">LOCAL BRIDGES                                                                                       </v>
      </c>
    </row>
    <row r="1051" spans="1:16" x14ac:dyDescent="0.25">
      <c r="A1051" t="str">
        <f t="shared" ref="A1051:A1103" si="405">CLEAN("10")</f>
        <v>10</v>
      </c>
      <c r="B1051" t="str">
        <f>CLEAN("23")</f>
        <v>23</v>
      </c>
      <c r="C1051" s="1">
        <v>46000</v>
      </c>
      <c r="D1051" t="str">
        <f>CLEAN("9095-10-71")</f>
        <v>9095-10-71</v>
      </c>
      <c r="E1051" t="str">
        <f>CLEAN("206  ")</f>
        <v xml:space="preserve">206  </v>
      </c>
      <c r="F1051" t="str">
        <f>CLEAN("$2,000,000 - $2,999,999  ")</f>
        <v xml:space="preserve">$2,000,000 - $2,999,999  </v>
      </c>
      <c r="G1051" t="str">
        <f>CLEAN("LET")</f>
        <v>LET</v>
      </c>
      <c r="H1051" t="str">
        <f>CLEAN("LET CONSTRUCTION         ")</f>
        <v xml:space="preserve">LET CONSTRUCTION         </v>
      </c>
      <c r="I1051" t="str">
        <f>CLEAN("CONST/PVRPLA                       ")</f>
        <v xml:space="preserve">CONST/PVRPLA                       </v>
      </c>
      <c r="J1051" t="str">
        <f>CLEAN("CTH C  ")</f>
        <v xml:space="preserve">CTH C  </v>
      </c>
      <c r="K1051" t="str">
        <f>CLEAN("OCONTO                        ")</f>
        <v xml:space="preserve">OCONTO                        </v>
      </c>
      <c r="L1051" t="str">
        <f>CLEAN("PITTSFIELD - CHASE                 ")</f>
        <v xml:space="preserve">PITTSFIELD - CHASE                 </v>
      </c>
      <c r="M1051" t="str">
        <f>CLEAN("S COUNTY LINE TO CTH S             ")</f>
        <v xml:space="preserve">S COUNTY LINE TO CTH S             </v>
      </c>
      <c r="N1051">
        <v>2.9729999999999999</v>
      </c>
      <c r="O1051" t="str">
        <f t="shared" si="401"/>
        <v xml:space="preserve">          </v>
      </c>
      <c r="P1051" t="str">
        <f>CLEAN("STP RURAL                                                                                           ")</f>
        <v xml:space="preserve">STP RURAL                                                                                           </v>
      </c>
    </row>
    <row r="1052" spans="1:16" x14ac:dyDescent="0.25">
      <c r="A1052" t="str">
        <f t="shared" si="405"/>
        <v>10</v>
      </c>
      <c r="B1052" t="str">
        <f t="shared" ref="B1052:B1058" si="406">CLEAN("24")</f>
        <v>24</v>
      </c>
      <c r="C1052" s="1">
        <v>46078</v>
      </c>
      <c r="D1052" t="str">
        <f>CLEAN("9120-09-22")</f>
        <v>9120-09-22</v>
      </c>
      <c r="E1052" t="str">
        <f t="shared" ref="E1052:E1068" si="407">CLEAN("303  ")</f>
        <v xml:space="preserve">303  </v>
      </c>
      <c r="F1052" t="str">
        <f>CLEAN("$0 - $99,999             ")</f>
        <v xml:space="preserve">$0 - $99,999             </v>
      </c>
      <c r="G1052" t="str">
        <f>CLEAN("R/E")</f>
        <v>R/E</v>
      </c>
      <c r="H1052" t="str">
        <f>CLEAN("NONLET CONSTR/REAL ESTATE")</f>
        <v>NONLET CONSTR/REAL ESTATE</v>
      </c>
      <c r="I1052" t="str">
        <f>CLEAN("REAL ESTATE/RESURFACE              ")</f>
        <v xml:space="preserve">REAL ESTATE/RESURFACE              </v>
      </c>
      <c r="J1052" t="str">
        <f>CLEAN("USH 002")</f>
        <v>USH 002</v>
      </c>
      <c r="K1052" t="str">
        <f>CLEAN("FLORENCE                      ")</f>
        <v xml:space="preserve">FLORENCE                      </v>
      </c>
      <c r="L1052" t="str">
        <f>CLEAN("BRULE RIVER - IRON MOUNTAIN        ")</f>
        <v xml:space="preserve">BRULE RIVER - IRON MOUNTAIN        </v>
      </c>
      <c r="M1052" t="str">
        <f>CLEAN("CTH NN TO MICHIGAN STATE LINE      ")</f>
        <v xml:space="preserve">CTH NN TO MICHIGAN STATE LINE      </v>
      </c>
      <c r="N1052">
        <v>0</v>
      </c>
      <c r="O1052" t="str">
        <f t="shared" si="401"/>
        <v xml:space="preserve">          </v>
      </c>
      <c r="P1052" t="str">
        <f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1053" spans="1:16" x14ac:dyDescent="0.25">
      <c r="A1053" t="str">
        <f t="shared" si="405"/>
        <v>10</v>
      </c>
      <c r="B1053" t="str">
        <f t="shared" si="406"/>
        <v>24</v>
      </c>
      <c r="C1053" s="1">
        <v>45894</v>
      </c>
      <c r="D1053" t="str">
        <f>CLEAN("9180-17-22")</f>
        <v>9180-17-22</v>
      </c>
      <c r="E1053" t="str">
        <f t="shared" si="407"/>
        <v xml:space="preserve">303  </v>
      </c>
      <c r="F1053" t="str">
        <f>CLEAN("$0 - $99,999             ")</f>
        <v xml:space="preserve">$0 - $99,999             </v>
      </c>
      <c r="G1053" t="str">
        <f>CLEAN("R/E")</f>
        <v>R/E</v>
      </c>
      <c r="H1053" t="str">
        <f>CLEAN("NONLET CONSTR/REAL ESTATE")</f>
        <v>NONLET CONSTR/REAL ESTATE</v>
      </c>
      <c r="I1053" t="str">
        <f>CLEAN("REAL ESTATE/NEW BRIDGE             ")</f>
        <v xml:space="preserve">REAL ESTATE/NEW BRIDGE             </v>
      </c>
      <c r="J1053" t="str">
        <f>CLEAN("STH 022")</f>
        <v>STH 022</v>
      </c>
      <c r="K1053" t="str">
        <f t="shared" ref="K1053:K1058" si="408">CLEAN("SHAWANO                       ")</f>
        <v xml:space="preserve">SHAWANO                       </v>
      </c>
      <c r="L1053" t="str">
        <f>CLEAN("SHAWANO - GILLETT                  ")</f>
        <v xml:space="preserve">SHAWANO - GILLETT                  </v>
      </c>
      <c r="M1053" t="str">
        <f>CLEAN("C-58-0021 REPLACEMENT              ")</f>
        <v xml:space="preserve">C-58-0021 REPLACEMENT              </v>
      </c>
      <c r="N1053">
        <v>0.03</v>
      </c>
      <c r="O1053" t="str">
        <f t="shared" si="401"/>
        <v xml:space="preserve">          </v>
      </c>
      <c r="P1053" t="str">
        <f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1054" spans="1:16" x14ac:dyDescent="0.25">
      <c r="A1054" t="str">
        <f t="shared" si="405"/>
        <v>10</v>
      </c>
      <c r="B1054" t="str">
        <f t="shared" si="406"/>
        <v>24</v>
      </c>
      <c r="C1054" s="1">
        <v>46035</v>
      </c>
      <c r="D1054" t="str">
        <f>CLEAN("9180-17-71")</f>
        <v>9180-17-71</v>
      </c>
      <c r="E1054" t="str">
        <f t="shared" si="407"/>
        <v xml:space="preserve">303  </v>
      </c>
      <c r="F1054" t="str">
        <f>CLEAN("$4,000,000 - $4,999,999  ")</f>
        <v xml:space="preserve">$4,000,000 - $4,999,999  </v>
      </c>
      <c r="G1054" t="str">
        <f>CLEAN("LET")</f>
        <v>LET</v>
      </c>
      <c r="H1054" t="str">
        <f>CLEAN("LET CONSTRUCTION         ")</f>
        <v xml:space="preserve">LET CONSTRUCTION         </v>
      </c>
      <c r="I1054" t="str">
        <f>CLEAN("CONST/RESURFACE                    ")</f>
        <v xml:space="preserve">CONST/RESURFACE                    </v>
      </c>
      <c r="J1054" t="str">
        <f>CLEAN("STH 022")</f>
        <v>STH 022</v>
      </c>
      <c r="K1054" t="str">
        <f t="shared" si="408"/>
        <v xml:space="preserve">SHAWANO                       </v>
      </c>
      <c r="L1054" t="str">
        <f>CLEAN("SHAWANO - GILLETT                  ")</f>
        <v xml:space="preserve">SHAWANO - GILLETT                  </v>
      </c>
      <c r="M1054" t="str">
        <f>CLEAN("CTH BE TO CTH R                    ")</f>
        <v xml:space="preserve">CTH BE TO CTH R                    </v>
      </c>
      <c r="N1054">
        <v>5.81</v>
      </c>
      <c r="O1054" t="str">
        <f>CLEAN("9180-17-72")</f>
        <v>9180-17-72</v>
      </c>
      <c r="P1054" t="str">
        <f>CLEAN("SAFETY (REGULAR HSIP)                                                                               ")</f>
        <v xml:space="preserve">SAFETY (REGULAR HSIP)                                                                               </v>
      </c>
    </row>
    <row r="1055" spans="1:16" x14ac:dyDescent="0.25">
      <c r="A1055" t="str">
        <f t="shared" si="405"/>
        <v>10</v>
      </c>
      <c r="B1055" t="str">
        <f t="shared" si="406"/>
        <v>24</v>
      </c>
      <c r="C1055" s="1">
        <v>46035</v>
      </c>
      <c r="D1055" t="str">
        <f>CLEAN("9180-17-71")</f>
        <v>9180-17-71</v>
      </c>
      <c r="E1055" t="str">
        <f t="shared" si="407"/>
        <v xml:space="preserve">303  </v>
      </c>
      <c r="F1055" t="str">
        <f>CLEAN("$4,000,000 - $4,999,999  ")</f>
        <v xml:space="preserve">$4,000,000 - $4,999,999  </v>
      </c>
      <c r="G1055" t="str">
        <f>CLEAN("LET")</f>
        <v>LET</v>
      </c>
      <c r="H1055" t="str">
        <f>CLEAN("LET CONSTRUCTION         ")</f>
        <v xml:space="preserve">LET CONSTRUCTION         </v>
      </c>
      <c r="I1055" t="str">
        <f>CLEAN("CONST/RESURFACE                    ")</f>
        <v xml:space="preserve">CONST/RESURFACE                    </v>
      </c>
      <c r="J1055" t="str">
        <f>CLEAN("STH 022")</f>
        <v>STH 022</v>
      </c>
      <c r="K1055" t="str">
        <f t="shared" si="408"/>
        <v xml:space="preserve">SHAWANO                       </v>
      </c>
      <c r="L1055" t="str">
        <f>CLEAN("SHAWANO - GILLETT                  ")</f>
        <v xml:space="preserve">SHAWANO - GILLETT                  </v>
      </c>
      <c r="M1055" t="str">
        <f>CLEAN("CTH BE TO CTH R                    ")</f>
        <v xml:space="preserve">CTH BE TO CTH R                    </v>
      </c>
      <c r="N1055">
        <v>5.81</v>
      </c>
      <c r="O1055" t="str">
        <f>CLEAN("9180-17-72")</f>
        <v>9180-17-72</v>
      </c>
      <c r="P1055" t="str">
        <f t="shared" ref="P1055:P1062" si="409"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1056" spans="1:16" x14ac:dyDescent="0.25">
      <c r="A1056" t="str">
        <f t="shared" si="405"/>
        <v>10</v>
      </c>
      <c r="B1056" t="str">
        <f t="shared" si="406"/>
        <v>24</v>
      </c>
      <c r="C1056" s="1">
        <v>46035</v>
      </c>
      <c r="D1056" t="str">
        <f>CLEAN("9180-17-72")</f>
        <v>9180-17-72</v>
      </c>
      <c r="E1056" t="str">
        <f t="shared" si="407"/>
        <v xml:space="preserve">303  </v>
      </c>
      <c r="F1056" t="str">
        <f>CLEAN("$4,000,000 - $4,999,999  ")</f>
        <v xml:space="preserve">$4,000,000 - $4,999,999  </v>
      </c>
      <c r="G1056" t="str">
        <f>CLEAN("LET")</f>
        <v>LET</v>
      </c>
      <c r="H1056" t="str">
        <f>CLEAN("LET CONSTRUCTION         ")</f>
        <v xml:space="preserve">LET CONSTRUCTION         </v>
      </c>
      <c r="I1056" t="str">
        <f>CLEAN("CONST/RESURFACE                    ")</f>
        <v xml:space="preserve">CONST/RESURFACE                    </v>
      </c>
      <c r="J1056" t="str">
        <f>CLEAN("STH 022")</f>
        <v>STH 022</v>
      </c>
      <c r="K1056" t="str">
        <f t="shared" si="408"/>
        <v xml:space="preserve">SHAWANO                       </v>
      </c>
      <c r="L1056" t="str">
        <f>CLEAN("SHAWANO - GILLETT                  ")</f>
        <v xml:space="preserve">SHAWANO - GILLETT                  </v>
      </c>
      <c r="M1056" t="str">
        <f>CLEAN("CTH R TO OCONTO COUNTY LINE        ")</f>
        <v xml:space="preserve">CTH R TO OCONTO COUNTY LINE        </v>
      </c>
      <c r="N1056">
        <v>5.92</v>
      </c>
      <c r="O1056" t="str">
        <f>CLEAN("9180-17-71")</f>
        <v>9180-17-71</v>
      </c>
      <c r="P1056" t="str">
        <f t="shared" si="409"/>
        <v xml:space="preserve">STATE 3R                                                                                            </v>
      </c>
    </row>
    <row r="1057" spans="1:16" x14ac:dyDescent="0.25">
      <c r="A1057" t="str">
        <f t="shared" si="405"/>
        <v>10</v>
      </c>
      <c r="B1057" t="str">
        <f t="shared" si="406"/>
        <v>24</v>
      </c>
      <c r="C1057" s="1">
        <v>46016</v>
      </c>
      <c r="D1057" t="str">
        <f>CLEAN("9180-23-23")</f>
        <v>9180-23-23</v>
      </c>
      <c r="E1057" t="str">
        <f t="shared" si="407"/>
        <v xml:space="preserve">303  </v>
      </c>
      <c r="F1057" t="str">
        <f>CLEAN("$0 - $99,999             ")</f>
        <v xml:space="preserve">$0 - $99,999             </v>
      </c>
      <c r="G1057" t="str">
        <f>CLEAN("R/E")</f>
        <v>R/E</v>
      </c>
      <c r="H1057" t="str">
        <f>CLEAN("NONLET CONSTR/REAL ESTATE")</f>
        <v>NONLET CONSTR/REAL ESTATE</v>
      </c>
      <c r="I1057" t="str">
        <f>CLEAN("REAL ESTATE/PVRPLA                 ")</f>
        <v xml:space="preserve">REAL ESTATE/PVRPLA                 </v>
      </c>
      <c r="J1057" t="str">
        <f>CLEAN("STH 022")</f>
        <v>STH 022</v>
      </c>
      <c r="K1057" t="str">
        <f t="shared" si="408"/>
        <v xml:space="preserve">SHAWANO                       </v>
      </c>
      <c r="L1057" t="str">
        <f>CLEAN("C SHAWANO, SOUTH MAIN STREET       ")</f>
        <v xml:space="preserve">C SHAWANO, SOUTH MAIN STREET       </v>
      </c>
      <c r="M1057" t="str">
        <f>CLEAN("ZINGLER AVENUE TO GREEN BAY STREET ")</f>
        <v xml:space="preserve">ZINGLER AVENUE TO GREEN BAY STREET </v>
      </c>
      <c r="N1057">
        <v>1</v>
      </c>
      <c r="O1057" t="str">
        <f t="shared" ref="O1057:O1073" si="410">CLEAN("          ")</f>
        <v xml:space="preserve">          </v>
      </c>
      <c r="P1057" t="str">
        <f t="shared" si="409"/>
        <v xml:space="preserve">STATE 3R                                                                                            </v>
      </c>
    </row>
    <row r="1058" spans="1:16" x14ac:dyDescent="0.25">
      <c r="A1058" t="str">
        <f t="shared" si="405"/>
        <v>10</v>
      </c>
      <c r="B1058" t="str">
        <f t="shared" si="406"/>
        <v>24</v>
      </c>
      <c r="C1058" s="1">
        <v>46016</v>
      </c>
      <c r="D1058" t="str">
        <f>CLEAN("9180-23-24")</f>
        <v>9180-23-24</v>
      </c>
      <c r="E1058" t="str">
        <f t="shared" si="407"/>
        <v xml:space="preserve">303  </v>
      </c>
      <c r="F1058" t="str">
        <f>CLEAN("$0 - $99,999             ")</f>
        <v xml:space="preserve">$0 - $99,999             </v>
      </c>
      <c r="G1058" t="str">
        <f>CLEAN("R/E")</f>
        <v>R/E</v>
      </c>
      <c r="H1058" t="str">
        <f>CLEAN("NONLET CONSTR/REAL ESTATE")</f>
        <v>NONLET CONSTR/REAL ESTATE</v>
      </c>
      <c r="I1058" t="str">
        <f>CLEAN("REAL ESTATE/PVRPLA                 ")</f>
        <v xml:space="preserve">REAL ESTATE/PVRPLA                 </v>
      </c>
      <c r="J1058" t="str">
        <f>CLEAN("STH 047")</f>
        <v>STH 047</v>
      </c>
      <c r="K1058" t="str">
        <f t="shared" si="408"/>
        <v xml:space="preserve">SHAWANO                       </v>
      </c>
      <c r="L1058" t="str">
        <f>CLEAN("C SHAWANO, NORTH MAIN STREET       ")</f>
        <v xml:space="preserve">C SHAWANO, NORTH MAIN STREET       </v>
      </c>
      <c r="M1058" t="str">
        <f>CLEAN("GREEN BAY STREET TO SHAWANO CREEK  ")</f>
        <v xml:space="preserve">GREEN BAY STREET TO SHAWANO CREEK  </v>
      </c>
      <c r="N1058">
        <v>0.26</v>
      </c>
      <c r="O1058" t="str">
        <f t="shared" si="410"/>
        <v xml:space="preserve">          </v>
      </c>
      <c r="P1058" t="str">
        <f t="shared" si="409"/>
        <v xml:space="preserve">STATE 3R                                                                                            </v>
      </c>
    </row>
    <row r="1059" spans="1:16" x14ac:dyDescent="0.25">
      <c r="A1059" t="str">
        <f t="shared" si="405"/>
        <v>10</v>
      </c>
      <c r="B1059" t="str">
        <f>CLEAN("23")</f>
        <v>23</v>
      </c>
      <c r="C1059" s="1">
        <v>46078</v>
      </c>
      <c r="D1059" t="str">
        <f>CLEAN("9180-34-21")</f>
        <v>9180-34-21</v>
      </c>
      <c r="E1059" t="str">
        <f t="shared" si="407"/>
        <v xml:space="preserve">303  </v>
      </c>
      <c r="F1059" t="str">
        <f>CLEAN("$0 - $99,999             ")</f>
        <v xml:space="preserve">$0 - $99,999             </v>
      </c>
      <c r="G1059" t="str">
        <f>CLEAN("R/E")</f>
        <v>R/E</v>
      </c>
      <c r="H1059" t="str">
        <f>CLEAN("NONLET CONSTR/REAL ESTATE")</f>
        <v>NONLET CONSTR/REAL ESTATE</v>
      </c>
      <c r="I1059" t="str">
        <f>CLEAN("RE OPS/RSRF20                      ")</f>
        <v xml:space="preserve">RE OPS/RSRF20                      </v>
      </c>
      <c r="J1059" t="str">
        <f>CLEAN("STH 022")</f>
        <v>STH 022</v>
      </c>
      <c r="K1059" t="str">
        <f>CLEAN("OCONTO                        ")</f>
        <v xml:space="preserve">OCONTO                        </v>
      </c>
      <c r="L1059" t="str">
        <f>CLEAN("GILLETT - OCONTO FALLS             ")</f>
        <v xml:space="preserve">GILLETT - OCONTO FALLS             </v>
      </c>
      <c r="M1059" t="str">
        <f>CLEAN("STH 32 - E HIGHLAND DR             ")</f>
        <v xml:space="preserve">STH 32 - E HIGHLAND DR             </v>
      </c>
      <c r="N1059">
        <v>7.81</v>
      </c>
      <c r="O1059" t="str">
        <f t="shared" si="410"/>
        <v xml:space="preserve">          </v>
      </c>
      <c r="P1059" t="str">
        <f t="shared" si="409"/>
        <v xml:space="preserve">STATE 3R                                                                                            </v>
      </c>
    </row>
    <row r="1060" spans="1:16" x14ac:dyDescent="0.25">
      <c r="A1060" t="str">
        <f t="shared" si="405"/>
        <v>10</v>
      </c>
      <c r="B1060" t="str">
        <f>CLEAN("23")</f>
        <v>23</v>
      </c>
      <c r="C1060" s="1">
        <v>45972</v>
      </c>
      <c r="D1060" t="str">
        <f>CLEAN("9180-35-71")</f>
        <v>9180-35-71</v>
      </c>
      <c r="E1060" t="str">
        <f t="shared" si="407"/>
        <v xml:space="preserve">303  </v>
      </c>
      <c r="F1060" t="str">
        <f>CLEAN("$6,000,000 - $6,999,999  ")</f>
        <v xml:space="preserve">$6,000,000 - $6,999,999  </v>
      </c>
      <c r="G1060" t="str">
        <f>CLEAN("LET")</f>
        <v>LET</v>
      </c>
      <c r="H1060" t="str">
        <f>CLEAN("LET CONSTRUCTION         ")</f>
        <v xml:space="preserve">LET CONSTRUCTION         </v>
      </c>
      <c r="I1060" t="str">
        <f>CLEAN("CONST/RECST                        ")</f>
        <v xml:space="preserve">CONST/RECST                        </v>
      </c>
      <c r="J1060" t="str">
        <f>CLEAN("STH 022")</f>
        <v>STH 022</v>
      </c>
      <c r="K1060" t="str">
        <f>CLEAN("OCONTO                        ")</f>
        <v xml:space="preserve">OCONTO                        </v>
      </c>
      <c r="L1060" t="str">
        <f>CLEAN("C. GILLETT, MAIN &amp; McKENZIE STRTS  ")</f>
        <v xml:space="preserve">C. GILLETT, MAIN &amp; McKENZIE STRTS  </v>
      </c>
      <c r="M1060" t="str">
        <f>CLEAN("S CPL - N CPL                      ")</f>
        <v xml:space="preserve">S CPL - N CPL                      </v>
      </c>
      <c r="N1060">
        <v>1.0900000000000001</v>
      </c>
      <c r="O1060" t="str">
        <f t="shared" si="410"/>
        <v xml:space="preserve">          </v>
      </c>
      <c r="P1060" t="str">
        <f t="shared" si="409"/>
        <v xml:space="preserve">STATE 3R                                                                                            </v>
      </c>
    </row>
    <row r="1061" spans="1:16" x14ac:dyDescent="0.25">
      <c r="A1061" t="str">
        <f t="shared" si="405"/>
        <v>10</v>
      </c>
      <c r="B1061" t="str">
        <f>CLEAN("24")</f>
        <v>24</v>
      </c>
      <c r="C1061" s="1">
        <v>46078</v>
      </c>
      <c r="D1061" t="str">
        <f>CLEAN("9195-08-21")</f>
        <v>9195-08-21</v>
      </c>
      <c r="E1061" t="str">
        <f t="shared" si="407"/>
        <v xml:space="preserve">303  </v>
      </c>
      <c r="F1061" t="str">
        <f>CLEAN("$0 - $99,999             ")</f>
        <v xml:space="preserve">$0 - $99,999             </v>
      </c>
      <c r="G1061" t="str">
        <f>CLEAN("R/E")</f>
        <v>R/E</v>
      </c>
      <c r="H1061" t="str">
        <f>CLEAN("NONLET CONSTR/REAL ESTATE")</f>
        <v>NONLET CONSTR/REAL ESTATE</v>
      </c>
      <c r="I1061" t="str">
        <f>CLEAN("REAL ESTATE/RESURFACE              ")</f>
        <v xml:space="preserve">REAL ESTATE/RESURFACE              </v>
      </c>
      <c r="J1061" t="str">
        <f>CLEAN("STH 017")</f>
        <v>STH 017</v>
      </c>
      <c r="K1061" t="str">
        <f>CLEAN("VILAS                         ")</f>
        <v xml:space="preserve">VILAS                         </v>
      </c>
      <c r="L1061" t="str">
        <f>CLEAN("EAGLE RIVER - MICHIGAN STATE LINE  ")</f>
        <v xml:space="preserve">EAGLE RIVER - MICHIGAN STATE LINE  </v>
      </c>
      <c r="M1061" t="str">
        <f>CLEAN("ST LOUIS ROAD - MICHIGAN STATE LINE")</f>
        <v>ST LOUIS ROAD - MICHIGAN STATE LINE</v>
      </c>
      <c r="N1061">
        <v>9.6519999999999992</v>
      </c>
      <c r="O1061" t="str">
        <f t="shared" si="410"/>
        <v xml:space="preserve">          </v>
      </c>
      <c r="P1061" t="str">
        <f t="shared" si="409"/>
        <v xml:space="preserve">STATE 3R                                                                                            </v>
      </c>
    </row>
    <row r="1062" spans="1:16" x14ac:dyDescent="0.25">
      <c r="A1062" t="str">
        <f t="shared" si="405"/>
        <v>10</v>
      </c>
      <c r="B1062" t="str">
        <f>CLEAN("24")</f>
        <v>24</v>
      </c>
      <c r="C1062" s="1">
        <v>46078</v>
      </c>
      <c r="D1062" t="str">
        <f>CLEAN("9195-08-22")</f>
        <v>9195-08-22</v>
      </c>
      <c r="E1062" t="str">
        <f t="shared" si="407"/>
        <v xml:space="preserve">303  </v>
      </c>
      <c r="F1062" t="str">
        <f>CLEAN("$0 - $99,999             ")</f>
        <v xml:space="preserve">$0 - $99,999             </v>
      </c>
      <c r="G1062" t="str">
        <f>CLEAN("R/E")</f>
        <v>R/E</v>
      </c>
      <c r="H1062" t="str">
        <f>CLEAN("NONLET CONSTR/REAL ESTATE")</f>
        <v>NONLET CONSTR/REAL ESTATE</v>
      </c>
      <c r="I1062" t="str">
        <f>CLEAN("REAL ESTATE/RESURFACE              ")</f>
        <v xml:space="preserve">REAL ESTATE/RESURFACE              </v>
      </c>
      <c r="J1062" t="str">
        <f>CLEAN("STH 017")</f>
        <v>STH 017</v>
      </c>
      <c r="K1062" t="str">
        <f>CLEAN("VILAS                         ")</f>
        <v xml:space="preserve">VILAS                         </v>
      </c>
      <c r="L1062" t="str">
        <f>CLEAN("EAGLE RIVER - MICHIGAN STATE LINE  ")</f>
        <v xml:space="preserve">EAGLE RIVER - MICHIGAN STATE LINE  </v>
      </c>
      <c r="M1062" t="str">
        <f>CLEAN("USH 45 TO SAINT LOUIS ROAD         ")</f>
        <v xml:space="preserve">USH 45 TO SAINT LOUIS ROAD         </v>
      </c>
      <c r="N1062">
        <v>9.7330000000000005</v>
      </c>
      <c r="O1062" t="str">
        <f t="shared" si="410"/>
        <v xml:space="preserve">          </v>
      </c>
      <c r="P1062" t="str">
        <f t="shared" si="409"/>
        <v xml:space="preserve">STATE 3R                                                                                            </v>
      </c>
    </row>
    <row r="1063" spans="1:16" x14ac:dyDescent="0.25">
      <c r="A1063" t="str">
        <f t="shared" si="405"/>
        <v>10</v>
      </c>
      <c r="B1063" t="str">
        <f>CLEAN("23")</f>
        <v>23</v>
      </c>
      <c r="C1063" s="1">
        <v>46245</v>
      </c>
      <c r="D1063" t="str">
        <f>CLEAN("9200-11-71")</f>
        <v>9200-11-71</v>
      </c>
      <c r="E1063" t="str">
        <f t="shared" si="407"/>
        <v xml:space="preserve">303  </v>
      </c>
      <c r="F1063" t="str">
        <f>CLEAN("$12,000,000 - $12,999,999")</f>
        <v>$12,000,000 - $12,999,999</v>
      </c>
      <c r="G1063" t="str">
        <f>CLEAN("LET")</f>
        <v>LET</v>
      </c>
      <c r="H1063" t="str">
        <f>CLEAN("LET CONSTRUCTION         ")</f>
        <v xml:space="preserve">LET CONSTRUCTION         </v>
      </c>
      <c r="I1063" t="str">
        <f>CLEAN("CONST OPS/RSRF20                   ")</f>
        <v xml:space="preserve">CONST OPS/RSRF20                   </v>
      </c>
      <c r="J1063" t="str">
        <f>CLEAN("STH 029")</f>
        <v>STH 029</v>
      </c>
      <c r="K1063" t="str">
        <f>CLEAN("BROWN                         ")</f>
        <v xml:space="preserve">BROWN                         </v>
      </c>
      <c r="L1063" t="str">
        <f>CLEAN("SHAWANO-GREEN BAY                  ")</f>
        <v xml:space="preserve">SHAWANO-GREEN BAY                  </v>
      </c>
      <c r="M1063" t="str">
        <f>CLEAN("WCL-CTH J                          ")</f>
        <v xml:space="preserve">WCL-CTH J                          </v>
      </c>
      <c r="N1063">
        <v>5.91</v>
      </c>
      <c r="O1063" t="str">
        <f t="shared" si="410"/>
        <v xml:space="preserve">          </v>
      </c>
      <c r="P1063" t="str">
        <f>CLEAN("BACKBONE                                                                                            ")</f>
        <v xml:space="preserve">BACKBONE                                                                                            </v>
      </c>
    </row>
    <row r="1064" spans="1:16" x14ac:dyDescent="0.25">
      <c r="A1064" t="str">
        <f t="shared" si="405"/>
        <v>10</v>
      </c>
      <c r="B1064" t="str">
        <f>CLEAN("23")</f>
        <v>23</v>
      </c>
      <c r="C1064" s="1">
        <v>46245</v>
      </c>
      <c r="D1064" t="str">
        <f>CLEAN("9200-11-71")</f>
        <v>9200-11-71</v>
      </c>
      <c r="E1064" t="str">
        <f t="shared" si="407"/>
        <v xml:space="preserve">303  </v>
      </c>
      <c r="F1064" t="str">
        <f>CLEAN("$12,000,000 - $12,999,999")</f>
        <v>$12,000,000 - $12,999,999</v>
      </c>
      <c r="G1064" t="str">
        <f>CLEAN("LET")</f>
        <v>LET</v>
      </c>
      <c r="H1064" t="str">
        <f>CLEAN("LET CONSTRUCTION         ")</f>
        <v xml:space="preserve">LET CONSTRUCTION         </v>
      </c>
      <c r="I1064" t="str">
        <f>CLEAN("CONST OPS/RSRF20                   ")</f>
        <v xml:space="preserve">CONST OPS/RSRF20                   </v>
      </c>
      <c r="J1064" t="str">
        <f>CLEAN("STH 029")</f>
        <v>STH 029</v>
      </c>
      <c r="K1064" t="str">
        <f>CLEAN("BROWN                         ")</f>
        <v xml:space="preserve">BROWN                         </v>
      </c>
      <c r="L1064" t="str">
        <f>CLEAN("SHAWANO-GREEN BAY                  ")</f>
        <v xml:space="preserve">SHAWANO-GREEN BAY                  </v>
      </c>
      <c r="M1064" t="str">
        <f>CLEAN("WCL-CTH J                          ")</f>
        <v xml:space="preserve">WCL-CTH J                          </v>
      </c>
      <c r="N1064">
        <v>5.91</v>
      </c>
      <c r="O1064" t="str">
        <f t="shared" si="410"/>
        <v xml:space="preserve">          </v>
      </c>
      <c r="P1064" t="str">
        <f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1065" spans="1:16" x14ac:dyDescent="0.25">
      <c r="A1065" t="str">
        <f t="shared" si="405"/>
        <v>10</v>
      </c>
      <c r="B1065" t="str">
        <f>CLEAN("23")</f>
        <v>23</v>
      </c>
      <c r="C1065" s="1">
        <v>45955</v>
      </c>
      <c r="D1065" t="str">
        <f>CLEAN("9210-24-20")</f>
        <v>9210-24-20</v>
      </c>
      <c r="E1065" t="str">
        <f t="shared" si="407"/>
        <v xml:space="preserve">303  </v>
      </c>
      <c r="F1065" t="str">
        <f>CLEAN("$0 - $99,999             ")</f>
        <v xml:space="preserve">$0 - $99,999             </v>
      </c>
      <c r="G1065" t="str">
        <f>CLEAN("R/E")</f>
        <v>R/E</v>
      </c>
      <c r="H1065" t="str">
        <f>CLEAN("NONLET CONSTR/REAL ESTATE")</f>
        <v>NONLET CONSTR/REAL ESTATE</v>
      </c>
      <c r="I1065" t="str">
        <f>CLEAN("RE OPS/MISC                        ")</f>
        <v xml:space="preserve">RE OPS/MISC                        </v>
      </c>
      <c r="J1065" t="str">
        <f>CLEAN("STH 054")</f>
        <v>STH 054</v>
      </c>
      <c r="K1065" t="str">
        <f>CLEAN("BROWN                         ")</f>
        <v xml:space="preserve">BROWN                         </v>
      </c>
      <c r="L1065" t="str">
        <f>CLEAN("HOBART - GREEN BAY                 ")</f>
        <v xml:space="preserve">HOBART - GREEN BAY                 </v>
      </c>
      <c r="M1065" t="str">
        <f>CLEAN("HILLCREST DR - HINKLE ST           ")</f>
        <v xml:space="preserve">HILLCREST DR - HINKLE ST           </v>
      </c>
      <c r="N1065">
        <v>0.46200000000000002</v>
      </c>
      <c r="O1065" t="str">
        <f t="shared" si="410"/>
        <v xml:space="preserve">          </v>
      </c>
      <c r="P1065" t="str">
        <f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1066" spans="1:16" x14ac:dyDescent="0.25">
      <c r="A1066" t="str">
        <f t="shared" si="405"/>
        <v>10</v>
      </c>
      <c r="B1066" t="str">
        <f>CLEAN("24")</f>
        <v>24</v>
      </c>
      <c r="C1066" s="1">
        <v>46198</v>
      </c>
      <c r="D1066" t="str">
        <f>CLEAN("9215-01-22")</f>
        <v>9215-01-22</v>
      </c>
      <c r="E1066" t="str">
        <f t="shared" si="407"/>
        <v xml:space="preserve">303  </v>
      </c>
      <c r="F1066" t="str">
        <f>CLEAN("$0 - $99,999             ")</f>
        <v xml:space="preserve">$0 - $99,999             </v>
      </c>
      <c r="G1066" t="str">
        <f>CLEAN("R/E")</f>
        <v>R/E</v>
      </c>
      <c r="H1066" t="str">
        <f>CLEAN("NONLET CONSTR/REAL ESTATE")</f>
        <v>NONLET CONSTR/REAL ESTATE</v>
      </c>
      <c r="I1066" t="str">
        <f>CLEAN("REAL ESTATE/PAVEMENT REPLACEMENT   ")</f>
        <v xml:space="preserve">REAL ESTATE/PAVEMENT REPLACEMENT   </v>
      </c>
      <c r="J1066" t="str">
        <f>CLEAN("STH 086")</f>
        <v>STH 086</v>
      </c>
      <c r="K1066" t="str">
        <f>CLEAN("LINCOLN                       ")</f>
        <v xml:space="preserve">LINCOLN                       </v>
      </c>
      <c r="L1066" t="str">
        <f>CLEAN("C TOMAHAWK, EAST SOMO AVENUE       ")</f>
        <v xml:space="preserve">C TOMAHAWK, EAST SOMO AVENUE       </v>
      </c>
      <c r="M1066" t="str">
        <f>CLEAN("CHARLOTTE STREET TO USH 51         ")</f>
        <v xml:space="preserve">CHARLOTTE STREET TO USH 51         </v>
      </c>
      <c r="N1066">
        <v>1.2230000000000001</v>
      </c>
      <c r="O1066" t="str">
        <f t="shared" si="410"/>
        <v xml:space="preserve">          </v>
      </c>
      <c r="P1066" t="str">
        <f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1067" spans="1:16" x14ac:dyDescent="0.25">
      <c r="A1067" t="str">
        <f t="shared" si="405"/>
        <v>10</v>
      </c>
      <c r="B1067" t="str">
        <f>CLEAN("24")</f>
        <v>24</v>
      </c>
      <c r="C1067" s="1">
        <v>46016</v>
      </c>
      <c r="D1067" t="str">
        <f>CLEAN("9215-01-25")</f>
        <v>9215-01-25</v>
      </c>
      <c r="E1067" t="str">
        <f t="shared" si="407"/>
        <v xml:space="preserve">303  </v>
      </c>
      <c r="F1067" t="str">
        <f>CLEAN("$0 - $99,999             ")</f>
        <v xml:space="preserve">$0 - $99,999             </v>
      </c>
      <c r="G1067" t="str">
        <f>CLEAN("R/E")</f>
        <v>R/E</v>
      </c>
      <c r="H1067" t="str">
        <f>CLEAN("NONLET CONSTR/REAL ESTATE")</f>
        <v>NONLET CONSTR/REAL ESTATE</v>
      </c>
      <c r="I1067" t="str">
        <f>CLEAN("REAL ESTATE/PAVEMENT REPLACEMENT   ")</f>
        <v xml:space="preserve">REAL ESTATE/PAVEMENT REPLACEMENT   </v>
      </c>
      <c r="J1067" t="str">
        <f>CLEAN("STH 086")</f>
        <v>STH 086</v>
      </c>
      <c r="K1067" t="str">
        <f>CLEAN("LINCOLN                       ")</f>
        <v xml:space="preserve">LINCOLN                       </v>
      </c>
      <c r="L1067" t="str">
        <f>CLEAN("C TOMAHAWK, TOMAHAWK AVENUE        ")</f>
        <v xml:space="preserve">C TOMAHAWK, TOMAHAWK AVENUE        </v>
      </c>
      <c r="M1067" t="str">
        <f>CLEAN("WISC RIVER BRIDGE TO SOMO AVENUE   ")</f>
        <v xml:space="preserve">WISC RIVER BRIDGE TO SOMO AVENUE   </v>
      </c>
      <c r="N1067">
        <v>1.2</v>
      </c>
      <c r="O1067" t="str">
        <f t="shared" si="410"/>
        <v xml:space="preserve">          </v>
      </c>
      <c r="P1067" t="str">
        <f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1068" spans="1:16" x14ac:dyDescent="0.25">
      <c r="A1068" t="str">
        <f t="shared" si="405"/>
        <v>10</v>
      </c>
      <c r="B1068" t="str">
        <f>CLEAN("25")</f>
        <v>25</v>
      </c>
      <c r="C1068" s="1">
        <v>46198</v>
      </c>
      <c r="D1068" t="str">
        <f>CLEAN("9227-01-48")</f>
        <v>9227-01-48</v>
      </c>
      <c r="E1068" t="str">
        <f t="shared" si="407"/>
        <v xml:space="preserve">303  </v>
      </c>
      <c r="F1068" t="str">
        <f>CLEAN("$1,000,000 - $1,999,999  ")</f>
        <v xml:space="preserve">$1,000,000 - $1,999,999  </v>
      </c>
      <c r="G1068" t="str">
        <f>CLEAN("MIS")</f>
        <v>MIS</v>
      </c>
      <c r="H1068" t="str">
        <f>CLEAN("NONLET CONSTR/REAL ESTATE")</f>
        <v>NONLET CONSTR/REAL ESTATE</v>
      </c>
      <c r="I1068" t="str">
        <f>CLEAN("EX- CONS/INFLTN LOE/STN ANNUAL PLAN")</f>
        <v>EX- CONS/INFLTN LOE/STN ANNUAL PLAN</v>
      </c>
      <c r="J1068" t="str">
        <f>CLEAN("VAR HWY")</f>
        <v>VAR HWY</v>
      </c>
      <c r="K1068" t="str">
        <f>CLEAN("NORTHWEST REGION WIDE         ")</f>
        <v xml:space="preserve">NORTHWEST REGION WIDE         </v>
      </c>
      <c r="L1068" t="str">
        <f>CLEAN("NORTHWEST REGION - VARIOUS HIGHWAYS")</f>
        <v>NORTHWEST REGION - VARIOUS HIGHWAYS</v>
      </c>
      <c r="M1068" t="str">
        <f>CLEAN("INFLATION - SFY2026 - 3R ALLOCATED ")</f>
        <v xml:space="preserve">INFLATION - SFY2026 - 3R ALLOCATED </v>
      </c>
      <c r="N1068">
        <v>0</v>
      </c>
      <c r="O1068" t="str">
        <f t="shared" si="410"/>
        <v xml:space="preserve">          </v>
      </c>
      <c r="P1068" t="str">
        <f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1069" spans="1:16" x14ac:dyDescent="0.25">
      <c r="A1069" t="str">
        <f t="shared" si="405"/>
        <v>10</v>
      </c>
      <c r="B1069" t="str">
        <f>CLEAN("23")</f>
        <v>23</v>
      </c>
      <c r="C1069" s="1">
        <v>46063</v>
      </c>
      <c r="D1069" t="str">
        <f>CLEAN("9249-04-70")</f>
        <v>9249-04-70</v>
      </c>
      <c r="E1069" t="str">
        <f>CLEAN("205  ")</f>
        <v xml:space="preserve">205  </v>
      </c>
      <c r="F1069" t="str">
        <f>CLEAN("$500,000 - $749,999      ")</f>
        <v xml:space="preserve">$500,000 - $749,999      </v>
      </c>
      <c r="G1069" t="str">
        <f>CLEAN("LET")</f>
        <v>LET</v>
      </c>
      <c r="H1069" t="str">
        <f>CLEAN("LET CONSTRUCTION         ")</f>
        <v xml:space="preserve">LET CONSTRUCTION         </v>
      </c>
      <c r="I1069" t="str">
        <f>CLEAN("CONST OPS/BRRPL P-38-0915          ")</f>
        <v xml:space="preserve">CONST OPS/BRRPL P-38-0915          </v>
      </c>
      <c r="J1069" t="str">
        <f>CLEAN("CTH C  ")</f>
        <v xml:space="preserve">CTH C  </v>
      </c>
      <c r="K1069" t="str">
        <f>CLEAN("MARINETTE                     ")</f>
        <v xml:space="preserve">MARINETTE                     </v>
      </c>
      <c r="L1069" t="str">
        <f>CLEAN("T ATHLESTANE, CTH C                ")</f>
        <v xml:space="preserve">T ATHLESTANE, CTH C                </v>
      </c>
      <c r="M1069" t="str">
        <f>CLEAN("WAUSAUKEE RIVER BRIDGE             ")</f>
        <v xml:space="preserve">WAUSAUKEE RIVER BRIDGE             </v>
      </c>
      <c r="N1069">
        <v>2.8000000000000001E-2</v>
      </c>
      <c r="O1069" t="str">
        <f t="shared" si="410"/>
        <v xml:space="preserve">          </v>
      </c>
      <c r="P1069" t="str">
        <f>CLEAN("LOCAL BRIDGES                                                                                       ")</f>
        <v xml:space="preserve">LOCAL BRIDGES                                                                                       </v>
      </c>
    </row>
    <row r="1070" spans="1:16" x14ac:dyDescent="0.25">
      <c r="A1070" t="str">
        <f t="shared" si="405"/>
        <v>10</v>
      </c>
      <c r="B1070" t="str">
        <f>CLEAN("24")</f>
        <v>24</v>
      </c>
      <c r="C1070" s="1">
        <v>46063</v>
      </c>
      <c r="D1070" t="str">
        <f>CLEAN("9250-14-71")</f>
        <v>9250-14-71</v>
      </c>
      <c r="E1070" t="str">
        <f>CLEAN("303  ")</f>
        <v xml:space="preserve">303  </v>
      </c>
      <c r="F1070" t="str">
        <f>CLEAN("$4,000,000 - $4,999,999  ")</f>
        <v xml:space="preserve">$4,000,000 - $4,999,999  </v>
      </c>
      <c r="G1070" t="str">
        <f>CLEAN("LET")</f>
        <v>LET</v>
      </c>
      <c r="H1070" t="str">
        <f>CLEAN("LET CONSTRUCTION         ")</f>
        <v xml:space="preserve">LET CONSTRUCTION         </v>
      </c>
      <c r="I1070" t="str">
        <f>CLEAN("CONST/RESURFACE                    ")</f>
        <v xml:space="preserve">CONST/RESURFACE                    </v>
      </c>
      <c r="J1070" t="str">
        <f>CLEAN("STH 077")</f>
        <v>STH 077</v>
      </c>
      <c r="K1070" t="str">
        <f>CLEAN("IRON                          ")</f>
        <v xml:space="preserve">IRON                          </v>
      </c>
      <c r="L1070" t="str">
        <f>CLEAN("MELLEN - HURLEY                    ")</f>
        <v xml:space="preserve">MELLEN - HURLEY                    </v>
      </c>
      <c r="M1070" t="str">
        <f>CLEAN("UPSON LAKE ROAD TO ODANAH ROAD     ")</f>
        <v xml:space="preserve">UPSON LAKE ROAD TO ODANAH ROAD     </v>
      </c>
      <c r="N1070">
        <v>11.35</v>
      </c>
      <c r="O1070" t="str">
        <f t="shared" si="410"/>
        <v xml:space="preserve">          </v>
      </c>
      <c r="P1070" t="str">
        <f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1071" spans="1:16" x14ac:dyDescent="0.25">
      <c r="A1071" t="str">
        <f t="shared" si="405"/>
        <v>10</v>
      </c>
      <c r="B1071" t="str">
        <f>CLEAN("23")</f>
        <v>23</v>
      </c>
      <c r="C1071" s="1">
        <v>46091</v>
      </c>
      <c r="D1071" t="str">
        <f>CLEAN("9258-05-73")</f>
        <v>9258-05-73</v>
      </c>
      <c r="E1071" t="str">
        <f>CLEAN("206  ")</f>
        <v xml:space="preserve">206  </v>
      </c>
      <c r="F1071" t="str">
        <f>CLEAN("$5,000,000 - $5,999,999  ")</f>
        <v xml:space="preserve">$5,000,000 - $5,999,999  </v>
      </c>
      <c r="G1071" t="str">
        <f>CLEAN("LET")</f>
        <v>LET</v>
      </c>
      <c r="H1071" t="str">
        <f>CLEAN("LET CONSTRUCTION         ")</f>
        <v xml:space="preserve">LET CONSTRUCTION         </v>
      </c>
      <c r="I1071" t="str">
        <f>CLEAN("CONST OPS/PVRPLA                   ")</f>
        <v xml:space="preserve">CONST OPS/PVRPLA                   </v>
      </c>
      <c r="J1071" t="str">
        <f>CLEAN("CTH A  ")</f>
        <v xml:space="preserve">CTH A  </v>
      </c>
      <c r="K1071" t="str">
        <f>CLEAN("MARINETTE                     ")</f>
        <v xml:space="preserve">MARINETTE                     </v>
      </c>
      <c r="L1071" t="str">
        <f>CLEAN("MARINETTE CO, CTH A                ")</f>
        <v xml:space="preserve">MARINETTE CO, CTH A                </v>
      </c>
      <c r="M1071" t="str">
        <f>CLEAN("ROSA AVENUE TO CTH X               ")</f>
        <v xml:space="preserve">ROSA AVENUE TO CTH X               </v>
      </c>
      <c r="N1071">
        <v>8.0879999999999992</v>
      </c>
      <c r="O1071" t="str">
        <f t="shared" si="410"/>
        <v xml:space="preserve">          </v>
      </c>
      <c r="P1071" t="str">
        <f>CLEAN("STP RURAL                                                                                           ")</f>
        <v xml:space="preserve">STP RURAL                                                                                           </v>
      </c>
    </row>
    <row r="1072" spans="1:16" x14ac:dyDescent="0.25">
      <c r="A1072" t="str">
        <f t="shared" si="405"/>
        <v>10</v>
      </c>
      <c r="B1072" t="str">
        <f>CLEAN("23")</f>
        <v>23</v>
      </c>
      <c r="C1072" s="1">
        <v>45909</v>
      </c>
      <c r="D1072" t="str">
        <f>CLEAN("9259-00-70")</f>
        <v>9259-00-70</v>
      </c>
      <c r="E1072" t="str">
        <f>CLEAN("206  ")</f>
        <v xml:space="preserve">206  </v>
      </c>
      <c r="F1072" t="str">
        <f>CLEAN("$250,000 - $499,999      ")</f>
        <v xml:space="preserve">$250,000 - $499,999      </v>
      </c>
      <c r="G1072" t="str">
        <f>CLEAN("LET")</f>
        <v>LET</v>
      </c>
      <c r="H1072" t="str">
        <f>CLEAN("LET CONSTRUCTION         ")</f>
        <v xml:space="preserve">LET CONSTRUCTION         </v>
      </c>
      <c r="I1072" t="str">
        <f>CLEAN("CONST OPS/MISC/HRRR                ")</f>
        <v xml:space="preserve">CONST OPS/MISC/HRRR                </v>
      </c>
      <c r="J1072" t="str">
        <f>CLEAN("CTH B  ")</f>
        <v xml:space="preserve">CTH B  </v>
      </c>
      <c r="K1072" t="str">
        <f>CLEAN("MARINETTE                     ")</f>
        <v xml:space="preserve">MARINETTE                     </v>
      </c>
      <c r="L1072" t="str">
        <f>CLEAN("PESHTIGO - MARINETTE               ")</f>
        <v xml:space="preserve">PESHTIGO - MARINETTE               </v>
      </c>
      <c r="M1072" t="str">
        <f>CLEAN("MAPLE STREET - CTH T               ")</f>
        <v xml:space="preserve">MAPLE STREET - CTH T               </v>
      </c>
      <c r="N1072">
        <v>7.3929999999999998</v>
      </c>
      <c r="O1072" t="str">
        <f t="shared" si="410"/>
        <v xml:space="preserve">          </v>
      </c>
      <c r="P1072" t="str">
        <f>CLEAN("SAFETY - HIGH RISK RURAL ROADS                                                                      ")</f>
        <v xml:space="preserve">SAFETY - HIGH RISK RURAL ROADS                                                                      </v>
      </c>
    </row>
    <row r="1073" spans="1:16" x14ac:dyDescent="0.25">
      <c r="A1073" t="str">
        <f t="shared" si="405"/>
        <v>10</v>
      </c>
      <c r="B1073" t="str">
        <f>CLEAN("24")</f>
        <v>24</v>
      </c>
      <c r="C1073" s="1">
        <v>46078</v>
      </c>
      <c r="D1073" t="str">
        <f>CLEAN("9260-00-24")</f>
        <v>9260-00-24</v>
      </c>
      <c r="E1073" t="str">
        <f>CLEAN("303  ")</f>
        <v xml:space="preserve">303  </v>
      </c>
      <c r="F1073" t="str">
        <f>CLEAN("$0 - $99,999             ")</f>
        <v xml:space="preserve">$0 - $99,999             </v>
      </c>
      <c r="G1073" t="str">
        <f>CLEAN("R/E")</f>
        <v>R/E</v>
      </c>
      <c r="H1073" t="str">
        <f>CLEAN("NONLET CONSTR/REAL ESTATE")</f>
        <v>NONLET CONSTR/REAL ESTATE</v>
      </c>
      <c r="I1073" t="str">
        <f>CLEAN("REAL ESTATE/RESURFACE              ")</f>
        <v xml:space="preserve">REAL ESTATE/RESURFACE              </v>
      </c>
      <c r="J1073" t="str">
        <f>CLEAN("STH 032")</f>
        <v>STH 032</v>
      </c>
      <c r="K1073" t="str">
        <f>CLEAN("FOREST                        ")</f>
        <v xml:space="preserve">FOREST                        </v>
      </c>
      <c r="L1073" t="str">
        <f>CLEAN("CRANDON - THREE LAKES              ")</f>
        <v xml:space="preserve">CRANDON - THREE LAKES              </v>
      </c>
      <c r="M1073" t="str">
        <f>CLEAN("RAILROAD AVENUE TO CTH S           ")</f>
        <v xml:space="preserve">RAILROAD AVENUE TO CTH S           </v>
      </c>
      <c r="N1073">
        <v>4.34</v>
      </c>
      <c r="O1073" t="str">
        <f t="shared" si="410"/>
        <v xml:space="preserve">          </v>
      </c>
      <c r="P1073" t="str">
        <f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1074" spans="1:16" x14ac:dyDescent="0.25">
      <c r="A1074" t="str">
        <f t="shared" si="405"/>
        <v>10</v>
      </c>
      <c r="B1074" t="str">
        <f>CLEAN("24")</f>
        <v>24</v>
      </c>
      <c r="C1074" s="1">
        <v>46091</v>
      </c>
      <c r="D1074" t="str">
        <f>CLEAN("9260-00-71")</f>
        <v>9260-00-71</v>
      </c>
      <c r="E1074" t="str">
        <f>CLEAN("303  ")</f>
        <v xml:space="preserve">303  </v>
      </c>
      <c r="F1074" t="str">
        <f>CLEAN("$2,000,000 - $2,999,999  ")</f>
        <v xml:space="preserve">$2,000,000 - $2,999,999  </v>
      </c>
      <c r="G1074" t="str">
        <f>CLEAN("LET")</f>
        <v>LET</v>
      </c>
      <c r="H1074" t="str">
        <f>CLEAN("LET CONSTRUCTION         ")</f>
        <v xml:space="preserve">LET CONSTRUCTION         </v>
      </c>
      <c r="I1074" t="str">
        <f>CLEAN("CONST/PVRPLA                       ")</f>
        <v xml:space="preserve">CONST/PVRPLA                       </v>
      </c>
      <c r="J1074" t="str">
        <f>CLEAN("STH 032")</f>
        <v>STH 032</v>
      </c>
      <c r="K1074" t="str">
        <f>CLEAN("FOREST                        ")</f>
        <v xml:space="preserve">FOREST                        </v>
      </c>
      <c r="L1074" t="str">
        <f>CLEAN("C CRANDON, LAKE AVENUE             ")</f>
        <v xml:space="preserve">C CRANDON, LAKE AVENUE             </v>
      </c>
      <c r="M1074" t="str">
        <f>CLEAN("USH 8 TO CRANDON RR OVERHEAD       ")</f>
        <v xml:space="preserve">USH 8 TO CRANDON RR OVERHEAD       </v>
      </c>
      <c r="N1074">
        <v>0.56999999999999995</v>
      </c>
      <c r="O1074" t="str">
        <f>CLEAN("9260-00-81")</f>
        <v>9260-00-81</v>
      </c>
      <c r="P1074" t="str">
        <f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1075" spans="1:16" x14ac:dyDescent="0.25">
      <c r="A1075" t="str">
        <f t="shared" si="405"/>
        <v>10</v>
      </c>
      <c r="B1075" t="str">
        <f>CLEAN("24")</f>
        <v>24</v>
      </c>
      <c r="C1075" s="1">
        <v>46091</v>
      </c>
      <c r="D1075" t="str">
        <f>CLEAN("9260-00-81")</f>
        <v>9260-00-81</v>
      </c>
      <c r="E1075" t="str">
        <f>CLEAN("303  ")</f>
        <v xml:space="preserve">303  </v>
      </c>
      <c r="F1075" t="str">
        <f>CLEAN("$100,000-$249,999        ")</f>
        <v xml:space="preserve">$100,000-$249,999        </v>
      </c>
      <c r="G1075" t="str">
        <f>CLEAN("LET")</f>
        <v>LET</v>
      </c>
      <c r="H1075" t="str">
        <f>CLEAN("LET CONSTRUCTION         ")</f>
        <v xml:space="preserve">LET CONSTRUCTION         </v>
      </c>
      <c r="I1075" t="str">
        <f>CLEAN("CONST/LOCAL UTILITIES/PVRPLA       ")</f>
        <v xml:space="preserve">CONST/LOCAL UTILITIES/PVRPLA       </v>
      </c>
      <c r="J1075" t="str">
        <f>CLEAN("STH 032")</f>
        <v>STH 032</v>
      </c>
      <c r="K1075" t="str">
        <f>CLEAN("FOREST                        ")</f>
        <v xml:space="preserve">FOREST                        </v>
      </c>
      <c r="L1075" t="str">
        <f>CLEAN("C CRANDON, LAKE AVENUE             ")</f>
        <v xml:space="preserve">C CRANDON, LAKE AVENUE             </v>
      </c>
      <c r="M1075" t="str">
        <f>CLEAN("USH 8 TO CRANDON RR OVERHEAD       ")</f>
        <v xml:space="preserve">USH 8 TO CRANDON RR OVERHEAD       </v>
      </c>
      <c r="N1075">
        <v>0</v>
      </c>
      <c r="O1075" t="str">
        <f>CLEAN("9260-00-71")</f>
        <v>9260-00-71</v>
      </c>
      <c r="P1075" t="str">
        <f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1076" spans="1:16" x14ac:dyDescent="0.25">
      <c r="A1076" t="str">
        <f t="shared" si="405"/>
        <v>10</v>
      </c>
      <c r="B1076" t="str">
        <f>CLEAN("24")</f>
        <v>24</v>
      </c>
      <c r="C1076" s="1">
        <v>45894</v>
      </c>
      <c r="D1076" t="str">
        <f>CLEAN("9261-06-20")</f>
        <v>9261-06-20</v>
      </c>
      <c r="E1076" t="str">
        <f>CLEAN("303  ")</f>
        <v xml:space="preserve">303  </v>
      </c>
      <c r="F1076" t="str">
        <f>CLEAN("$0 - $99,999             ")</f>
        <v xml:space="preserve">$0 - $99,999             </v>
      </c>
      <c r="G1076" t="str">
        <f>CLEAN("R/E")</f>
        <v>R/E</v>
      </c>
      <c r="H1076" t="str">
        <f>CLEAN("NONLET CONSTR/REAL ESTATE")</f>
        <v>NONLET CONSTR/REAL ESTATE</v>
      </c>
      <c r="I1076" t="str">
        <f>CLEAN("REAL ESTATE/RESURFACE              ")</f>
        <v xml:space="preserve">REAL ESTATE/RESURFACE              </v>
      </c>
      <c r="J1076" t="str">
        <f>CLEAN("STH 032")</f>
        <v>STH 032</v>
      </c>
      <c r="K1076" t="str">
        <f>CLEAN("ONEIDA                        ")</f>
        <v xml:space="preserve">ONEIDA                        </v>
      </c>
      <c r="L1076" t="str">
        <f>CLEAN("CRANDON - THREE LAKES              ")</f>
        <v xml:space="preserve">CRANDON - THREE LAKES              </v>
      </c>
      <c r="M1076" t="str">
        <f>CLEAN("FOREST COUNTY LINE TO USH 45       ")</f>
        <v xml:space="preserve">FOREST COUNTY LINE TO USH 45       </v>
      </c>
      <c r="N1076">
        <v>8.7959999999999994</v>
      </c>
      <c r="O1076" t="str">
        <f t="shared" ref="O1076:O1103" si="411">CLEAN("          ")</f>
        <v xml:space="preserve">          </v>
      </c>
      <c r="P1076" t="str">
        <f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1077" spans="1:16" x14ac:dyDescent="0.25">
      <c r="A1077" t="str">
        <f t="shared" si="405"/>
        <v>10</v>
      </c>
      <c r="B1077" t="str">
        <f>CLEAN("23")</f>
        <v>23</v>
      </c>
      <c r="C1077" s="1">
        <v>46078</v>
      </c>
      <c r="D1077" t="str">
        <f>CLEAN("9269-11-70")</f>
        <v>9269-11-70</v>
      </c>
      <c r="E1077" t="str">
        <f>CLEAN("206  ")</f>
        <v xml:space="preserve">206  </v>
      </c>
      <c r="F1077" t="str">
        <f>CLEAN("$500,000 - $749,999      ")</f>
        <v xml:space="preserve">$500,000 - $749,999      </v>
      </c>
      <c r="G1077" t="str">
        <f>CLEAN("LLC")</f>
        <v>LLC</v>
      </c>
      <c r="H1077" t="str">
        <f>CLEAN("NONLET CONSTR/REAL ESTATE")</f>
        <v>NONLET CONSTR/REAL ESTATE</v>
      </c>
      <c r="I1077" t="str">
        <f>CLEAN("CONST OPS/MISC/LLC                 ")</f>
        <v xml:space="preserve">CONST OPS/MISC/LLC                 </v>
      </c>
      <c r="J1077" t="str">
        <f>CLEAN("NON HWY")</f>
        <v>NON HWY</v>
      </c>
      <c r="K1077" t="str">
        <f>CLEAN("BROWN                         ")</f>
        <v xml:space="preserve">BROWN                         </v>
      </c>
      <c r="L1077" t="str">
        <f>CLEAN("V HOWARD, MULTI-USE TRAIL          ")</f>
        <v xml:space="preserve">V HOWARD, MULTI-USE TRAIL          </v>
      </c>
      <c r="M1077" t="str">
        <f>CLEAN("MADDY COURT - MAYWOOD AVE          ")</f>
        <v xml:space="preserve">MADDY COURT - MAYWOOD AVE          </v>
      </c>
      <c r="N1077">
        <v>0.14299999999999999</v>
      </c>
      <c r="O1077" t="str">
        <f t="shared" si="411"/>
        <v xml:space="preserve">          </v>
      </c>
      <c r="P1077" t="str">
        <f>CLEAN("CARBON REDUCTION OVER 200,000                                                                       ")</f>
        <v xml:space="preserve">CARBON REDUCTION OVER 200,000                                                                       </v>
      </c>
    </row>
    <row r="1078" spans="1:16" x14ac:dyDescent="0.25">
      <c r="A1078" t="str">
        <f t="shared" si="405"/>
        <v>10</v>
      </c>
      <c r="B1078" t="str">
        <f>CLEAN("23")</f>
        <v>23</v>
      </c>
      <c r="C1078" s="1">
        <v>46154</v>
      </c>
      <c r="D1078" t="str">
        <f>CLEAN("9277-03-73")</f>
        <v>9277-03-73</v>
      </c>
      <c r="E1078" t="str">
        <f>CLEAN("206  ")</f>
        <v xml:space="preserve">206  </v>
      </c>
      <c r="F1078" t="str">
        <f>CLEAN("$1,000,000 - $1,999,999  ")</f>
        <v xml:space="preserve">$1,000,000 - $1,999,999  </v>
      </c>
      <c r="G1078" t="str">
        <f>CLEAN("LET")</f>
        <v>LET</v>
      </c>
      <c r="H1078" t="str">
        <f>CLEAN("LET CONSTRUCTION         ")</f>
        <v xml:space="preserve">LET CONSTRUCTION         </v>
      </c>
      <c r="I1078" t="str">
        <f>CLEAN("CONST OPS/RECST                    ")</f>
        <v xml:space="preserve">CONST OPS/RECST                    </v>
      </c>
      <c r="J1078" t="str">
        <f>CLEAN("CTH EE ")</f>
        <v xml:space="preserve">CTH EE </v>
      </c>
      <c r="K1078" t="str">
        <f>CLEAN("BROWN                         ")</f>
        <v xml:space="preserve">BROWN                         </v>
      </c>
      <c r="L1078" t="str">
        <f>CLEAN("BROWN CO, CTH EE                   ")</f>
        <v xml:space="preserve">BROWN CO, CTH EE                   </v>
      </c>
      <c r="M1078" t="str">
        <f>CLEAN("NAVIGATOR WAY - QUARRY PARK DR     ")</f>
        <v xml:space="preserve">NAVIGATOR WAY - QUARRY PARK DR     </v>
      </c>
      <c r="N1078">
        <v>0.2</v>
      </c>
      <c r="O1078" t="str">
        <f t="shared" si="411"/>
        <v xml:space="preserve">          </v>
      </c>
      <c r="P1078" t="str">
        <f>CLEAN("STP URBAN OVER 200,000                                                                              ")</f>
        <v xml:space="preserve">STP URBAN OVER 200,000                                                                              </v>
      </c>
    </row>
    <row r="1079" spans="1:16" x14ac:dyDescent="0.25">
      <c r="A1079" t="str">
        <f t="shared" si="405"/>
        <v>10</v>
      </c>
      <c r="B1079" t="str">
        <f t="shared" ref="B1079:B1089" si="412">CLEAN("24")</f>
        <v>24</v>
      </c>
      <c r="C1079" s="1">
        <v>46035</v>
      </c>
      <c r="D1079" t="str">
        <f>CLEAN("9295-00-70")</f>
        <v>9295-00-70</v>
      </c>
      <c r="E1079" t="str">
        <f>CLEAN("206  ")</f>
        <v xml:space="preserve">206  </v>
      </c>
      <c r="F1079" t="str">
        <f>CLEAN("$2,000,000 - $2,999,999  ")</f>
        <v xml:space="preserve">$2,000,000 - $2,999,999  </v>
      </c>
      <c r="G1079" t="str">
        <f>CLEAN("LET")</f>
        <v>LET</v>
      </c>
      <c r="H1079" t="str">
        <f>CLEAN("LET CONSTRUCTION         ")</f>
        <v xml:space="preserve">LET CONSTRUCTION         </v>
      </c>
      <c r="I1079" t="str">
        <f>CLEAN("CONST/RECONSTRUCT                  ")</f>
        <v xml:space="preserve">CONST/RECONSTRUCT                  </v>
      </c>
      <c r="J1079" t="str">
        <f>CLEAN("CTH BE ")</f>
        <v xml:space="preserve">CTH BE </v>
      </c>
      <c r="K1079" t="str">
        <f>CLEAN("SHAWANO                       ")</f>
        <v xml:space="preserve">SHAWANO                       </v>
      </c>
      <c r="L1079" t="str">
        <f>CLEAN("SHAWANO - STH 29                   ")</f>
        <v xml:space="preserve">SHAWANO - STH 29                   </v>
      </c>
      <c r="M1079" t="str">
        <f>CLEAN("STH 22 TO WHITNEE WAY              ")</f>
        <v xml:space="preserve">STH 22 TO WHITNEE WAY              </v>
      </c>
      <c r="N1079">
        <v>5.3810000000000002</v>
      </c>
      <c r="O1079" t="str">
        <f t="shared" si="411"/>
        <v xml:space="preserve">          </v>
      </c>
      <c r="P1079" t="str">
        <f>CLEAN("STP RURAL                                                                                           ")</f>
        <v xml:space="preserve">STP RURAL                                                                                           </v>
      </c>
    </row>
    <row r="1080" spans="1:16" x14ac:dyDescent="0.25">
      <c r="A1080" t="str">
        <f t="shared" si="405"/>
        <v>10</v>
      </c>
      <c r="B1080" t="str">
        <f t="shared" si="412"/>
        <v>24</v>
      </c>
      <c r="C1080" s="1">
        <v>45925</v>
      </c>
      <c r="D1080" t="str">
        <f>CLEAN("9305-07-50")</f>
        <v>9305-07-50</v>
      </c>
      <c r="E1080" t="str">
        <f>CLEAN("303  ")</f>
        <v xml:space="preserve">303  </v>
      </c>
      <c r="F1080" t="str">
        <f>CLEAN("$250,000 - $499,999      ")</f>
        <v xml:space="preserve">$250,000 - $499,999      </v>
      </c>
      <c r="G1080" t="str">
        <f>CLEAN("R/R")</f>
        <v>R/R</v>
      </c>
      <c r="H1080" t="str">
        <f>CLEAN("NONLET CONSTR/REAL ESTATE")</f>
        <v>NONLET CONSTR/REAL ESTATE</v>
      </c>
      <c r="I1080" t="str">
        <f>CLEAN("FVLS XING SIGNALS 392 928M MP128.3 ")</f>
        <v xml:space="preserve">FVLS XING SIGNALS 392 928M MP128.3 </v>
      </c>
      <c r="J1080" t="str">
        <f>CLEAN("STH 107")</f>
        <v>STH 107</v>
      </c>
      <c r="K1080" t="str">
        <f>CLEAN("LINCOLN                       ")</f>
        <v xml:space="preserve">LINCOLN                       </v>
      </c>
      <c r="L1080" t="str">
        <f>CLEAN("MERRILL - TOMAHAWK                 ")</f>
        <v xml:space="preserve">MERRILL - TOMAHAWK                 </v>
      </c>
      <c r="M1080" t="str">
        <f>CLEAN("WILDERNESS DRIVE TO CTH S          ")</f>
        <v xml:space="preserve">WILDERNESS DRIVE TO CTH S          </v>
      </c>
      <c r="N1080">
        <v>1.2999999999999999E-2</v>
      </c>
      <c r="O1080" t="str">
        <f t="shared" si="411"/>
        <v xml:space="preserve">          </v>
      </c>
      <c r="P1080" t="str">
        <f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1081" spans="1:16" x14ac:dyDescent="0.25">
      <c r="A1081" t="str">
        <f t="shared" si="405"/>
        <v>10</v>
      </c>
      <c r="B1081" t="str">
        <f t="shared" si="412"/>
        <v>24</v>
      </c>
      <c r="C1081" s="1">
        <v>45925</v>
      </c>
      <c r="D1081" t="str">
        <f>CLEAN("9305-07-51")</f>
        <v>9305-07-51</v>
      </c>
      <c r="E1081" t="str">
        <f>CLEAN("303  ")</f>
        <v xml:space="preserve">303  </v>
      </c>
      <c r="F1081" t="str">
        <f>CLEAN("$100,000-$249,999        ")</f>
        <v xml:space="preserve">$100,000-$249,999        </v>
      </c>
      <c r="G1081" t="str">
        <f>CLEAN("R/R")</f>
        <v>R/R</v>
      </c>
      <c r="H1081" t="str">
        <f>CLEAN("NONLET CONSTR/REAL ESTATE")</f>
        <v>NONLET CONSTR/REAL ESTATE</v>
      </c>
      <c r="I1081" t="str">
        <f>CLEAN("FVLS XING SURFACE 392 928M MP128.3 ")</f>
        <v xml:space="preserve">FVLS XING SURFACE 392 928M MP128.3 </v>
      </c>
      <c r="J1081" t="str">
        <f>CLEAN("STH 107")</f>
        <v>STH 107</v>
      </c>
      <c r="K1081" t="str">
        <f>CLEAN("LINCOLN                       ")</f>
        <v xml:space="preserve">LINCOLN                       </v>
      </c>
      <c r="L1081" t="str">
        <f>CLEAN("MERRILL - TOMAHAWK                 ")</f>
        <v xml:space="preserve">MERRILL - TOMAHAWK                 </v>
      </c>
      <c r="M1081" t="str">
        <f>CLEAN("WILDERNESS DRIVE TO CTH S          ")</f>
        <v xml:space="preserve">WILDERNESS DRIVE TO CTH S          </v>
      </c>
      <c r="N1081">
        <v>6.0000000000000001E-3</v>
      </c>
      <c r="O1081" t="str">
        <f t="shared" si="411"/>
        <v xml:space="preserve">          </v>
      </c>
      <c r="P1081" t="str">
        <f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1082" spans="1:16" x14ac:dyDescent="0.25">
      <c r="A1082" t="str">
        <f t="shared" si="405"/>
        <v>10</v>
      </c>
      <c r="B1082" t="str">
        <f t="shared" si="412"/>
        <v>24</v>
      </c>
      <c r="C1082" s="1">
        <v>46063</v>
      </c>
      <c r="D1082" t="str">
        <f>CLEAN("9305-07-70")</f>
        <v>9305-07-70</v>
      </c>
      <c r="E1082" t="str">
        <f>CLEAN("303  ")</f>
        <v xml:space="preserve">303  </v>
      </c>
      <c r="F1082" t="str">
        <f>CLEAN("$4,000,000 - $4,999,999  ")</f>
        <v xml:space="preserve">$4,000,000 - $4,999,999  </v>
      </c>
      <c r="G1082" t="str">
        <f t="shared" ref="G1082:G1090" si="413">CLEAN("LET")</f>
        <v>LET</v>
      </c>
      <c r="H1082" t="str">
        <f t="shared" ref="H1082:H1090" si="414">CLEAN("LET CONSTRUCTION         ")</f>
        <v xml:space="preserve">LET CONSTRUCTION         </v>
      </c>
      <c r="I1082" t="str">
        <f>CLEAN("CONST/RESURFACE                    ")</f>
        <v xml:space="preserve">CONST/RESURFACE                    </v>
      </c>
      <c r="J1082" t="str">
        <f>CLEAN("STH 107")</f>
        <v>STH 107</v>
      </c>
      <c r="K1082" t="str">
        <f>CLEAN("LINCOLN                       ")</f>
        <v xml:space="preserve">LINCOLN                       </v>
      </c>
      <c r="L1082" t="str">
        <f>CLEAN("MERRILL - TOMAHAWK                 ")</f>
        <v xml:space="preserve">MERRILL - TOMAHAWK                 </v>
      </c>
      <c r="M1082" t="str">
        <f>CLEAN("WILDERNESS DRIVE TO CTH S          ")</f>
        <v xml:space="preserve">WILDERNESS DRIVE TO CTH S          </v>
      </c>
      <c r="N1082">
        <v>13.592000000000001</v>
      </c>
      <c r="O1082" t="str">
        <f t="shared" si="411"/>
        <v xml:space="preserve">          </v>
      </c>
      <c r="P1082" t="str">
        <f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1083" spans="1:16" x14ac:dyDescent="0.25">
      <c r="A1083" t="str">
        <f t="shared" si="405"/>
        <v>10</v>
      </c>
      <c r="B1083" t="str">
        <f t="shared" si="412"/>
        <v>24</v>
      </c>
      <c r="C1083" s="1">
        <v>46035</v>
      </c>
      <c r="D1083" t="str">
        <f>CLEAN("9423-00-70")</f>
        <v>9423-00-70</v>
      </c>
      <c r="E1083" t="str">
        <f>CLEAN("205  ")</f>
        <v xml:space="preserve">205  </v>
      </c>
      <c r="F1083" t="str">
        <f>CLEAN("$2,000,000 - $2,999,999  ")</f>
        <v xml:space="preserve">$2,000,000 - $2,999,999  </v>
      </c>
      <c r="G1083" t="str">
        <f t="shared" si="413"/>
        <v>LET</v>
      </c>
      <c r="H1083" t="str">
        <f t="shared" si="414"/>
        <v xml:space="preserve">LET CONSTRUCTION         </v>
      </c>
      <c r="I1083" t="str">
        <f>CLEAN("CONST/REPLACEMENT                  ")</f>
        <v xml:space="preserve">CONST/REPLACEMENT                  </v>
      </c>
      <c r="J1083" t="str">
        <f>CLEAN("CTH O  ")</f>
        <v xml:space="preserve">CTH O  </v>
      </c>
      <c r="K1083" t="str">
        <f>CLEAN("LINCOLN                       ")</f>
        <v xml:space="preserve">LINCOLN                       </v>
      </c>
      <c r="L1083" t="str">
        <f>CLEAN("STH 86 - CTH E                     ")</f>
        <v xml:space="preserve">STH 86 - CTH E                     </v>
      </c>
      <c r="M1083" t="str">
        <f>CLEAN("SPIRIT RIVER BRIDGE, B-35-0162     ")</f>
        <v xml:space="preserve">SPIRIT RIVER BRIDGE, B-35-0162     </v>
      </c>
      <c r="N1083">
        <v>0</v>
      </c>
      <c r="O1083" t="str">
        <f t="shared" si="411"/>
        <v xml:space="preserve">          </v>
      </c>
      <c r="P1083" t="str">
        <f>CLEAN("LOCAL BRIDGES                                                                                       ")</f>
        <v xml:space="preserve">LOCAL BRIDGES                                                                                       </v>
      </c>
    </row>
    <row r="1084" spans="1:16" x14ac:dyDescent="0.25">
      <c r="A1084" t="str">
        <f t="shared" si="405"/>
        <v>10</v>
      </c>
      <c r="B1084" t="str">
        <f t="shared" si="412"/>
        <v>24</v>
      </c>
      <c r="C1084" s="1">
        <v>46035</v>
      </c>
      <c r="D1084" t="str">
        <f>CLEAN("9451-00-70")</f>
        <v>9451-00-70</v>
      </c>
      <c r="E1084" t="str">
        <f>CLEAN("205  ")</f>
        <v xml:space="preserve">205  </v>
      </c>
      <c r="F1084" t="str">
        <f>CLEAN("$500,000 - $749,999      ")</f>
        <v xml:space="preserve">$500,000 - $749,999      </v>
      </c>
      <c r="G1084" t="str">
        <f t="shared" si="413"/>
        <v>LET</v>
      </c>
      <c r="H1084" t="str">
        <f t="shared" si="414"/>
        <v xml:space="preserve">LET CONSTRUCTION         </v>
      </c>
      <c r="I1084" t="str">
        <f>CLEAN("CONST/REPLACEMENT                  ")</f>
        <v xml:space="preserve">CONST/REPLACEMENT                  </v>
      </c>
      <c r="J1084" t="str">
        <f>CLEAN("CTH D  ")</f>
        <v xml:space="preserve">CTH D  </v>
      </c>
      <c r="K1084" t="str">
        <f>CLEAN("ONEIDA                        ")</f>
        <v xml:space="preserve">ONEIDA                        </v>
      </c>
      <c r="L1084" t="str">
        <f>CLEAN("CTH O - CTH H                      ")</f>
        <v xml:space="preserve">CTH O - CTH H                      </v>
      </c>
      <c r="M1084" t="str">
        <f>CLEAN("SUGAR CAMP CREEK BRIDGE, B-43-0065 ")</f>
        <v xml:space="preserve">SUGAR CAMP CREEK BRIDGE, B-43-0065 </v>
      </c>
      <c r="N1084">
        <v>0</v>
      </c>
      <c r="O1084" t="str">
        <f t="shared" si="411"/>
        <v xml:space="preserve">          </v>
      </c>
      <c r="P1084" t="str">
        <f>CLEAN("LOCAL BRIDGES                                                                                       ")</f>
        <v xml:space="preserve">LOCAL BRIDGES                                                                                       </v>
      </c>
    </row>
    <row r="1085" spans="1:16" x14ac:dyDescent="0.25">
      <c r="A1085" t="str">
        <f t="shared" si="405"/>
        <v>10</v>
      </c>
      <c r="B1085" t="str">
        <f t="shared" si="412"/>
        <v>24</v>
      </c>
      <c r="C1085" s="1">
        <v>46091</v>
      </c>
      <c r="D1085" t="str">
        <f>CLEAN("9471-00-70")</f>
        <v>9471-00-70</v>
      </c>
      <c r="E1085" t="str">
        <f>CLEAN("205  ")</f>
        <v xml:space="preserve">205  </v>
      </c>
      <c r="F1085" t="str">
        <f>CLEAN("$2,000,000 - $2,999,999  ")</f>
        <v xml:space="preserve">$2,000,000 - $2,999,999  </v>
      </c>
      <c r="G1085" t="str">
        <f t="shared" si="413"/>
        <v>LET</v>
      </c>
      <c r="H1085" t="str">
        <f t="shared" si="414"/>
        <v xml:space="preserve">LET CONSTRUCTION         </v>
      </c>
      <c r="I1085" t="str">
        <f>CLEAN("CONST/REPLACEMENT                  ")</f>
        <v xml:space="preserve">CONST/REPLACEMENT                  </v>
      </c>
      <c r="J1085" t="str">
        <f>CLEAN("CTH J  ")</f>
        <v xml:space="preserve">CTH J  </v>
      </c>
      <c r="K1085" t="str">
        <f>CLEAN("MARATHON                      ")</f>
        <v xml:space="preserve">MARATHON                      </v>
      </c>
      <c r="L1085" t="str">
        <f>CLEAN("STH 29 - CTH N                     ")</f>
        <v xml:space="preserve">STH 29 - CTH N                     </v>
      </c>
      <c r="M1085" t="str">
        <f>CLEAN("EAU CLAIRE RIVER BRIDGE B-37-0023  ")</f>
        <v xml:space="preserve">EAU CLAIRE RIVER BRIDGE B-37-0023  </v>
      </c>
      <c r="N1085">
        <v>0</v>
      </c>
      <c r="O1085" t="str">
        <f t="shared" si="411"/>
        <v xml:space="preserve">          </v>
      </c>
      <c r="P1085" t="str">
        <f>CLEAN("LOCAL BRIDGES                                                                                       ")</f>
        <v xml:space="preserve">LOCAL BRIDGES                                                                                       </v>
      </c>
    </row>
    <row r="1086" spans="1:16" x14ac:dyDescent="0.25">
      <c r="A1086" t="str">
        <f t="shared" si="405"/>
        <v>10</v>
      </c>
      <c r="B1086" t="str">
        <f t="shared" si="412"/>
        <v>24</v>
      </c>
      <c r="C1086" s="1">
        <v>46091</v>
      </c>
      <c r="D1086" t="str">
        <f>CLEAN("9471-04-73")</f>
        <v>9471-04-73</v>
      </c>
      <c r="E1086" t="str">
        <f>CLEAN("205  ")</f>
        <v xml:space="preserve">205  </v>
      </c>
      <c r="F1086" t="str">
        <f>CLEAN("$1,000,000 - $1,999,999  ")</f>
        <v xml:space="preserve">$1,000,000 - $1,999,999  </v>
      </c>
      <c r="G1086" t="str">
        <f t="shared" si="413"/>
        <v>LET</v>
      </c>
      <c r="H1086" t="str">
        <f t="shared" si="414"/>
        <v xml:space="preserve">LET CONSTRUCTION         </v>
      </c>
      <c r="I1086" t="str">
        <f>CLEAN("CONST/REPLACEMENT                  ")</f>
        <v xml:space="preserve">CONST/REPLACEMENT                  </v>
      </c>
      <c r="J1086" t="str">
        <f>CLEAN("CTH J  ")</f>
        <v xml:space="preserve">CTH J  </v>
      </c>
      <c r="K1086" t="str">
        <f>CLEAN("MARATHON                      ")</f>
        <v xml:space="preserve">MARATHON                      </v>
      </c>
      <c r="L1086" t="str">
        <f>CLEAN("STH 52 - CTH G                     ")</f>
        <v xml:space="preserve">STH 52 - CTH G                     </v>
      </c>
      <c r="M1086" t="str">
        <f>CLEAN("TRAPPE RIVER BRIDGE, B-37-0488     ")</f>
        <v xml:space="preserve">TRAPPE RIVER BRIDGE, B-37-0488     </v>
      </c>
      <c r="N1086">
        <v>0</v>
      </c>
      <c r="O1086" t="str">
        <f t="shared" si="411"/>
        <v xml:space="preserve">          </v>
      </c>
      <c r="P1086" t="str">
        <f>CLEAN("LOCAL BRIDGES                                                                                       ")</f>
        <v xml:space="preserve">LOCAL BRIDGES                                                                                       </v>
      </c>
    </row>
    <row r="1087" spans="1:16" x14ac:dyDescent="0.25">
      <c r="A1087" t="str">
        <f t="shared" si="405"/>
        <v>10</v>
      </c>
      <c r="B1087" t="str">
        <f t="shared" si="412"/>
        <v>24</v>
      </c>
      <c r="C1087" s="1">
        <v>46063</v>
      </c>
      <c r="D1087" t="str">
        <f>CLEAN("9481-00-74")</f>
        <v>9481-00-74</v>
      </c>
      <c r="E1087" t="str">
        <f>CLEAN("205  ")</f>
        <v xml:space="preserve">205  </v>
      </c>
      <c r="F1087" t="str">
        <f>CLEAN("$1,000,000 - $1,999,999  ")</f>
        <v xml:space="preserve">$1,000,000 - $1,999,999  </v>
      </c>
      <c r="G1087" t="str">
        <f t="shared" si="413"/>
        <v>LET</v>
      </c>
      <c r="H1087" t="str">
        <f t="shared" si="414"/>
        <v xml:space="preserve">LET CONSTRUCTION         </v>
      </c>
      <c r="I1087" t="str">
        <f>CLEAN("CONST/REPLACEMENT                  ")</f>
        <v xml:space="preserve">CONST/REPLACEMENT                  </v>
      </c>
      <c r="J1087" t="str">
        <f>CLEAN("CTH U  ")</f>
        <v xml:space="preserve">CTH U  </v>
      </c>
      <c r="K1087" t="str">
        <f>CLEAN("MARATHON                      ")</f>
        <v xml:space="preserve">MARATHON                      </v>
      </c>
      <c r="L1087" t="str">
        <f>CLEAN("CTH O - USH 51                     ")</f>
        <v xml:space="preserve">CTH O - USH 51                     </v>
      </c>
      <c r="M1087" t="str">
        <f>CLEAN("LITTLE RIB RIVER BRIDGE, B-37-0028 ")</f>
        <v xml:space="preserve">LITTLE RIB RIVER BRIDGE, B-37-0028 </v>
      </c>
      <c r="N1087">
        <v>0</v>
      </c>
      <c r="O1087" t="str">
        <f t="shared" si="411"/>
        <v xml:space="preserve">          </v>
      </c>
      <c r="P1087" t="str">
        <f>CLEAN("LOCAL BRIDGES                                                                                       ")</f>
        <v xml:space="preserve">LOCAL BRIDGES                                                                                       </v>
      </c>
    </row>
    <row r="1088" spans="1:16" x14ac:dyDescent="0.25">
      <c r="A1088" t="str">
        <f t="shared" si="405"/>
        <v>10</v>
      </c>
      <c r="B1088" t="str">
        <f t="shared" si="412"/>
        <v>24</v>
      </c>
      <c r="C1088" s="1">
        <v>46091</v>
      </c>
      <c r="D1088" t="str">
        <f>CLEAN("9488-02-70")</f>
        <v>9488-02-70</v>
      </c>
      <c r="E1088" t="str">
        <f>CLEAN("206  ")</f>
        <v xml:space="preserve">206  </v>
      </c>
      <c r="F1088" t="str">
        <f>CLEAN("$750,000 - $999,999      ")</f>
        <v xml:space="preserve">$750,000 - $999,999      </v>
      </c>
      <c r="G1088" t="str">
        <f t="shared" si="413"/>
        <v>LET</v>
      </c>
      <c r="H1088" t="str">
        <f t="shared" si="414"/>
        <v xml:space="preserve">LET CONSTRUCTION         </v>
      </c>
      <c r="I1088" t="str">
        <f>CLEAN("CONST/HSIP                         ")</f>
        <v xml:space="preserve">CONST/HSIP                         </v>
      </c>
      <c r="J1088" t="str">
        <f>CLEAN("CTH D  ")</f>
        <v xml:space="preserve">CTH D  </v>
      </c>
      <c r="K1088" t="str">
        <f>CLEAN("PRICE                         ")</f>
        <v xml:space="preserve">PRICE                         </v>
      </c>
      <c r="L1088" t="str">
        <f>CLEAN("PHILLIPS - EMERY                   ")</f>
        <v xml:space="preserve">PHILLIPS - EMERY                   </v>
      </c>
      <c r="M1088" t="str">
        <f>CLEAN("PARK DRIVE TO MINK DRIVE           ")</f>
        <v xml:space="preserve">PARK DRIVE TO MINK DRIVE           </v>
      </c>
      <c r="N1088">
        <v>10.17</v>
      </c>
      <c r="O1088" t="str">
        <f t="shared" si="411"/>
        <v xml:space="preserve">          </v>
      </c>
      <c r="P1088" t="str">
        <f>CLEAN("SAFETY (REGULAR HSIP)                                                                               ")</f>
        <v xml:space="preserve">SAFETY (REGULAR HSIP)                                                                               </v>
      </c>
    </row>
    <row r="1089" spans="1:16" x14ac:dyDescent="0.25">
      <c r="A1089" t="str">
        <f t="shared" si="405"/>
        <v>10</v>
      </c>
      <c r="B1089" t="str">
        <f t="shared" si="412"/>
        <v>24</v>
      </c>
      <c r="C1089" s="1">
        <v>45909</v>
      </c>
      <c r="D1089" t="str">
        <f>CLEAN("9535-05-72")</f>
        <v>9535-05-72</v>
      </c>
      <c r="E1089" t="str">
        <f>CLEAN("303  ")</f>
        <v xml:space="preserve">303  </v>
      </c>
      <c r="F1089" t="str">
        <f>CLEAN("$750,000 - $999,999      ")</f>
        <v xml:space="preserve">$750,000 - $999,999      </v>
      </c>
      <c r="G1089" t="str">
        <f t="shared" si="413"/>
        <v>LET</v>
      </c>
      <c r="H1089" t="str">
        <f t="shared" si="414"/>
        <v xml:space="preserve">LET CONSTRUCTION         </v>
      </c>
      <c r="I1089" t="str">
        <f>CLEAN("CONST/POLYMER OVERLAY/JOINT/PAINT  ")</f>
        <v xml:space="preserve">CONST/POLYMER OVERLAY/JOINT/PAINT  </v>
      </c>
      <c r="J1089" t="str">
        <f>CLEAN("STH 097")</f>
        <v>STH 097</v>
      </c>
      <c r="K1089" t="str">
        <f>CLEAN("MARATHON                      ")</f>
        <v xml:space="preserve">MARATHON                      </v>
      </c>
      <c r="L1089" t="str">
        <f>CLEAN("STRATFORD - GOODRICH               ")</f>
        <v xml:space="preserve">STRATFORD - GOODRICH               </v>
      </c>
      <c r="M1089" t="str">
        <f>CLEAN("BRIDGE OVERLAY B-37-0548           ")</f>
        <v xml:space="preserve">BRIDGE OVERLAY B-37-0548           </v>
      </c>
      <c r="N1089">
        <v>0</v>
      </c>
      <c r="O1089" t="str">
        <f t="shared" si="411"/>
        <v xml:space="preserve">          </v>
      </c>
      <c r="P1089" t="str">
        <f>CLEAN("SHR BRIDGES                                                                                         ")</f>
        <v xml:space="preserve">SHR BRIDGES                                                                                         </v>
      </c>
    </row>
    <row r="1090" spans="1:16" x14ac:dyDescent="0.25">
      <c r="A1090" t="str">
        <f t="shared" si="405"/>
        <v>10</v>
      </c>
      <c r="B1090" t="str">
        <f>CLEAN("25")</f>
        <v>25</v>
      </c>
      <c r="C1090" s="1">
        <v>45972</v>
      </c>
      <c r="D1090" t="str">
        <f>CLEAN("9547-03-70")</f>
        <v>9547-03-70</v>
      </c>
      <c r="E1090" t="str">
        <f>CLEAN("205  ")</f>
        <v xml:space="preserve">205  </v>
      </c>
      <c r="F1090" t="str">
        <f>CLEAN("$500,000 - $749,999      ")</f>
        <v xml:space="preserve">$500,000 - $749,999      </v>
      </c>
      <c r="G1090" t="str">
        <f t="shared" si="413"/>
        <v>LET</v>
      </c>
      <c r="H1090" t="str">
        <f t="shared" si="414"/>
        <v xml:space="preserve">LET CONSTRUCTION         </v>
      </c>
      <c r="I1090" t="str">
        <f>CLEAN("CONSTRUCTION/BRRHB                 ")</f>
        <v xml:space="preserve">CONSTRUCTION/BRRHB                 </v>
      </c>
      <c r="J1090" t="str">
        <f>CLEAN("CTH O  ")</f>
        <v xml:space="preserve">CTH O  </v>
      </c>
      <c r="K1090" t="str">
        <f>CLEAN("TAYLOR                        ")</f>
        <v xml:space="preserve">TAYLOR                        </v>
      </c>
      <c r="L1090" t="str">
        <f>CLEAN("STH 13 - ECL                       ")</f>
        <v xml:space="preserve">STH 13 - ECL                       </v>
      </c>
      <c r="M1090" t="str">
        <f>CLEAN("LITTLE BLACK RIVER BRIDGE B-60-0031")</f>
        <v>LITTLE BLACK RIVER BRIDGE B-60-0031</v>
      </c>
      <c r="N1090">
        <v>4.4999999999999998E-2</v>
      </c>
      <c r="O1090" t="str">
        <f t="shared" si="411"/>
        <v xml:space="preserve">          </v>
      </c>
      <c r="P1090" t="str">
        <f>CLEAN("LOCAL BRIDGES                                                                                       ")</f>
        <v xml:space="preserve">LOCAL BRIDGES                                                                                       </v>
      </c>
    </row>
    <row r="1091" spans="1:16" x14ac:dyDescent="0.25">
      <c r="A1091" t="str">
        <f t="shared" si="405"/>
        <v>10</v>
      </c>
      <c r="B1091" t="str">
        <f>CLEAN("24")</f>
        <v>24</v>
      </c>
      <c r="C1091" s="1">
        <v>45925</v>
      </c>
      <c r="D1091" t="str">
        <f>CLEAN("9650-17-24")</f>
        <v>9650-17-24</v>
      </c>
      <c r="E1091" t="str">
        <f>CLEAN("303  ")</f>
        <v xml:space="preserve">303  </v>
      </c>
      <c r="F1091" t="str">
        <f>CLEAN("$0 - $99,999             ")</f>
        <v xml:space="preserve">$0 - $99,999             </v>
      </c>
      <c r="G1091" t="str">
        <f>CLEAN("R/E")</f>
        <v>R/E</v>
      </c>
      <c r="H1091" t="str">
        <f>CLEAN("NONLET CONSTR/REAL ESTATE")</f>
        <v>NONLET CONSTR/REAL ESTATE</v>
      </c>
      <c r="I1091" t="str">
        <f>CLEAN("REAL ESTATE/RESURFACE              ")</f>
        <v xml:space="preserve">REAL ESTATE/RESURFACE              </v>
      </c>
      <c r="J1091" t="str">
        <f>CLEAN("STH 047")</f>
        <v>STH 047</v>
      </c>
      <c r="K1091" t="str">
        <f>CLEAN("MENOMINEE                     ")</f>
        <v xml:space="preserve">MENOMINEE                     </v>
      </c>
      <c r="L1091" t="str">
        <f>CLEAN("SHAWANO - NEOPIT                   ")</f>
        <v xml:space="preserve">SHAWANO - NEOPIT                   </v>
      </c>
      <c r="M1091" t="str">
        <f>CLEAN("FEATHER LANE TO CHURCH STREET      ")</f>
        <v xml:space="preserve">FEATHER LANE TO CHURCH STREET      </v>
      </c>
      <c r="N1091">
        <v>0.68</v>
      </c>
      <c r="O1091" t="str">
        <f t="shared" si="411"/>
        <v xml:space="preserve">          </v>
      </c>
      <c r="P1091" t="str">
        <f>CLEAN("STATE 3R                                                                                            ")</f>
        <v xml:space="preserve">STATE 3R                                                                                            </v>
      </c>
    </row>
    <row r="1092" spans="1:16" x14ac:dyDescent="0.25">
      <c r="A1092" t="str">
        <f t="shared" si="405"/>
        <v>10</v>
      </c>
      <c r="B1092" t="str">
        <f>CLEAN("23")</f>
        <v>23</v>
      </c>
      <c r="C1092" s="1">
        <v>45972</v>
      </c>
      <c r="D1092" t="str">
        <f>CLEAN("9670-16-71")</f>
        <v>9670-16-71</v>
      </c>
      <c r="E1092" t="str">
        <f>CLEAN("303  ")</f>
        <v xml:space="preserve">303  </v>
      </c>
      <c r="F1092" t="str">
        <f>CLEAN("$3,000,000 - $3,999,999  ")</f>
        <v xml:space="preserve">$3,000,000 - $3,999,999  </v>
      </c>
      <c r="G1092" t="str">
        <f>CLEAN("LET")</f>
        <v>LET</v>
      </c>
      <c r="H1092" t="str">
        <f>CLEAN("LET CONSTRUCTION         ")</f>
        <v xml:space="preserve">LET CONSTRUCTION         </v>
      </c>
      <c r="I1092" t="str">
        <f>CLEAN("CONSTR BRRPL                       ")</f>
        <v xml:space="preserve">CONSTR BRRPL                       </v>
      </c>
      <c r="J1092" t="str">
        <f>CLEAN("STH 180")</f>
        <v>STH 180</v>
      </c>
      <c r="K1092" t="str">
        <f>CLEAN("MARINETTE                     ")</f>
        <v xml:space="preserve">MARINETTE                     </v>
      </c>
      <c r="L1092" t="str">
        <f>CLEAN("MARINETTE - WAUSAUKEE              ")</f>
        <v xml:space="preserve">MARINETTE - WAUSAUKEE              </v>
      </c>
      <c r="M1092" t="str">
        <f>CLEAN("STH 64 - USH 141                   ")</f>
        <v xml:space="preserve">STH 64 - USH 141                   </v>
      </c>
      <c r="N1092">
        <v>0</v>
      </c>
      <c r="O1092" t="str">
        <f t="shared" si="411"/>
        <v xml:space="preserve">          </v>
      </c>
      <c r="P1092" t="str">
        <f>CLEAN("SHR BRIDGES                                                                                         ")</f>
        <v xml:space="preserve">SHR BRIDGES                                                                                         </v>
      </c>
    </row>
    <row r="1093" spans="1:16" x14ac:dyDescent="0.25">
      <c r="A1093" t="str">
        <f t="shared" si="405"/>
        <v>10</v>
      </c>
      <c r="B1093" t="str">
        <f t="shared" ref="B1093:B1101" si="415">CLEAN("24")</f>
        <v>24</v>
      </c>
      <c r="C1093" s="1">
        <v>46137</v>
      </c>
      <c r="D1093" t="str">
        <f>CLEAN("9813-02-72")</f>
        <v>9813-02-72</v>
      </c>
      <c r="E1093" t="str">
        <f>CLEAN("290  ")</f>
        <v xml:space="preserve">290  </v>
      </c>
      <c r="F1093" t="str">
        <f>CLEAN("$750,000 - $999,999      ")</f>
        <v xml:space="preserve">$750,000 - $999,999      </v>
      </c>
      <c r="G1093" t="str">
        <f>CLEAN("LLC")</f>
        <v>LLC</v>
      </c>
      <c r="H1093" t="str">
        <f>CLEAN("NONLET CONSTR/REAL ESTATE")</f>
        <v>NONLET CONSTR/REAL ESTATE</v>
      </c>
      <c r="I1093" t="str">
        <f>CLEAN("CONST/PHASE 3A/MISC                ")</f>
        <v xml:space="preserve">CONST/PHASE 3A/MISC                </v>
      </c>
      <c r="J1093" t="str">
        <f>CLEAN("NON HWY")</f>
        <v>NON HWY</v>
      </c>
      <c r="K1093" t="str">
        <f>CLEAN("FOREST                        ")</f>
        <v xml:space="preserve">FOREST                        </v>
      </c>
      <c r="L1093" t="str">
        <f>CLEAN("USH 8 SHARED PATHWAY PHASE 3A      ")</f>
        <v xml:space="preserve">USH 8 SHARED PATHWAY PHASE 3A      </v>
      </c>
      <c r="M1093" t="str">
        <f>CLEAN("CTH W TO FIREKEEPER ROAD           ")</f>
        <v xml:space="preserve">CTH W TO FIREKEEPER ROAD           </v>
      </c>
      <c r="N1093">
        <v>0</v>
      </c>
      <c r="O1093" t="str">
        <f t="shared" si="411"/>
        <v xml:space="preserve">          </v>
      </c>
      <c r="P1093" t="str">
        <f>CLEAN("TAP &lt; 5,000                                                                                         ")</f>
        <v xml:space="preserve">TAP &lt; 5,000                                                                                         </v>
      </c>
    </row>
    <row r="1094" spans="1:16" x14ac:dyDescent="0.25">
      <c r="A1094" t="str">
        <f t="shared" si="405"/>
        <v>10</v>
      </c>
      <c r="B1094" t="str">
        <f t="shared" si="415"/>
        <v>24</v>
      </c>
      <c r="C1094" s="1">
        <v>46063</v>
      </c>
      <c r="D1094" t="str">
        <f>CLEAN("9826-00-70")</f>
        <v>9826-00-70</v>
      </c>
      <c r="E1094" t="str">
        <f>CLEAN("205  ")</f>
        <v xml:space="preserve">205  </v>
      </c>
      <c r="F1094" t="str">
        <f>CLEAN("$500,000 - $749,999      ")</f>
        <v xml:space="preserve">$500,000 - $749,999      </v>
      </c>
      <c r="G1094" t="str">
        <f>CLEAN("LET")</f>
        <v>LET</v>
      </c>
      <c r="H1094" t="str">
        <f>CLEAN("LET CONSTRUCTION         ")</f>
        <v xml:space="preserve">LET CONSTRUCTION         </v>
      </c>
      <c r="I1094" t="str">
        <f>CLEAN("CONST/REPLACEMENT                  ")</f>
        <v xml:space="preserve">CONST/REPLACEMENT                  </v>
      </c>
      <c r="J1094" t="str">
        <f t="shared" ref="J1094:J1100" si="416">CLEAN("LOC STR")</f>
        <v>LOC STR</v>
      </c>
      <c r="K1094" t="str">
        <f>CLEAN("IRON                          ")</f>
        <v xml:space="preserve">IRON                          </v>
      </c>
      <c r="L1094" t="str">
        <f>CLEAN("T KIMBALL, TOWN PARK DRIVE         ")</f>
        <v xml:space="preserve">T KIMBALL, TOWN PARK DRIVE         </v>
      </c>
      <c r="M1094" t="str">
        <f>CLEAN("W BR MONTREAL RIVER BRIDGE B260047 ")</f>
        <v xml:space="preserve">W BR MONTREAL RIVER BRIDGE B260047 </v>
      </c>
      <c r="N1094">
        <v>0</v>
      </c>
      <c r="O1094" t="str">
        <f t="shared" si="411"/>
        <v xml:space="preserve">          </v>
      </c>
      <c r="P1094" t="str">
        <f>CLEAN("LOCAL BRIDGES                                                                                       ")</f>
        <v xml:space="preserve">LOCAL BRIDGES                                                                                       </v>
      </c>
    </row>
    <row r="1095" spans="1:16" x14ac:dyDescent="0.25">
      <c r="A1095" t="str">
        <f t="shared" si="405"/>
        <v>10</v>
      </c>
      <c r="B1095" t="str">
        <f t="shared" si="415"/>
        <v>24</v>
      </c>
      <c r="C1095" s="1">
        <v>46091</v>
      </c>
      <c r="D1095" t="str">
        <f>CLEAN("9833-03-72")</f>
        <v>9833-03-72</v>
      </c>
      <c r="E1095" t="str">
        <f>CLEAN("205  ")</f>
        <v xml:space="preserve">205  </v>
      </c>
      <c r="F1095" t="str">
        <f>CLEAN("$500,000 - $749,999      ")</f>
        <v xml:space="preserve">$500,000 - $749,999      </v>
      </c>
      <c r="G1095" t="str">
        <f>CLEAN("LET")</f>
        <v>LET</v>
      </c>
      <c r="H1095" t="str">
        <f>CLEAN("LET CONSTRUCTION         ")</f>
        <v xml:space="preserve">LET CONSTRUCTION         </v>
      </c>
      <c r="I1095" t="str">
        <f>CLEAN("CONST/REPLACEMENT                  ")</f>
        <v xml:space="preserve">CONST/REPLACEMENT                  </v>
      </c>
      <c r="J1095" t="str">
        <f t="shared" si="416"/>
        <v>LOC STR</v>
      </c>
      <c r="K1095" t="str">
        <f>CLEAN("LANGLADE                      ")</f>
        <v xml:space="preserve">LANGLADE                      </v>
      </c>
      <c r="L1095" t="str">
        <f>CLEAN("T ACKLEY, RANGE LINE ROAD          ")</f>
        <v xml:space="preserve">T ACKLEY, RANGE LINE ROAD          </v>
      </c>
      <c r="M1095" t="str">
        <f>CLEAN("BLACK BROOK BRIDGE, B-34-0066      ")</f>
        <v xml:space="preserve">BLACK BROOK BRIDGE, B-34-0066      </v>
      </c>
      <c r="N1095">
        <v>0</v>
      </c>
      <c r="O1095" t="str">
        <f t="shared" si="411"/>
        <v xml:space="preserve">          </v>
      </c>
      <c r="P1095" t="str">
        <f>CLEAN("LOCAL BRIDGES                                                                                       ")</f>
        <v xml:space="preserve">LOCAL BRIDGES                                                                                       </v>
      </c>
    </row>
    <row r="1096" spans="1:16" x14ac:dyDescent="0.25">
      <c r="A1096" t="str">
        <f t="shared" si="405"/>
        <v>10</v>
      </c>
      <c r="B1096" t="str">
        <f t="shared" si="415"/>
        <v>24</v>
      </c>
      <c r="C1096" s="1">
        <v>46063</v>
      </c>
      <c r="D1096" t="str">
        <f>CLEAN("9835-06-70")</f>
        <v>9835-06-70</v>
      </c>
      <c r="E1096" t="str">
        <f>CLEAN("206  ")</f>
        <v xml:space="preserve">206  </v>
      </c>
      <c r="F1096" t="str">
        <f>CLEAN("$2,000,000 - $2,999,999  ")</f>
        <v xml:space="preserve">$2,000,000 - $2,999,999  </v>
      </c>
      <c r="G1096" t="str">
        <f>CLEAN("LET")</f>
        <v>LET</v>
      </c>
      <c r="H1096" t="str">
        <f>CLEAN("LET CONSTRUCTION         ")</f>
        <v xml:space="preserve">LET CONSTRUCTION         </v>
      </c>
      <c r="I1096" t="str">
        <f>CLEAN("CONST/PAVEMENT REPLACEMENT         ")</f>
        <v xml:space="preserve">CONST/PAVEMENT REPLACEMENT         </v>
      </c>
      <c r="J1096" t="str">
        <f t="shared" si="416"/>
        <v>LOC STR</v>
      </c>
      <c r="K1096" t="str">
        <f>CLEAN("LANGLADE                      ")</f>
        <v xml:space="preserve">LANGLADE                      </v>
      </c>
      <c r="L1096" t="str">
        <f>CLEAN("C ANTIGO, 10TH AVENUE              ")</f>
        <v xml:space="preserve">C ANTIGO, 10TH AVENUE              </v>
      </c>
      <c r="M1096" t="str">
        <f>CLEAN("WESTERN AVENUE TO CLERMONT STREET  ")</f>
        <v xml:space="preserve">WESTERN AVENUE TO CLERMONT STREET  </v>
      </c>
      <c r="N1096">
        <v>1.119</v>
      </c>
      <c r="O1096" t="str">
        <f t="shared" si="411"/>
        <v xml:space="preserve">          </v>
      </c>
      <c r="P1096" t="str">
        <f>CLEAN("STP URBAN 5,000 - 20,000                                                                            ")</f>
        <v xml:space="preserve">STP URBAN 5,000 - 20,000                                                                            </v>
      </c>
    </row>
    <row r="1097" spans="1:16" x14ac:dyDescent="0.25">
      <c r="A1097" t="str">
        <f t="shared" si="405"/>
        <v>10</v>
      </c>
      <c r="B1097" t="str">
        <f t="shared" si="415"/>
        <v>24</v>
      </c>
      <c r="C1097" s="1">
        <v>46035</v>
      </c>
      <c r="D1097" t="str">
        <f>CLEAN("9854-00-70")</f>
        <v>9854-00-70</v>
      </c>
      <c r="E1097" t="str">
        <f>CLEAN("205  ")</f>
        <v xml:space="preserve">205  </v>
      </c>
      <c r="F1097" t="str">
        <f>CLEAN("$500,000 - $749,999      ")</f>
        <v xml:space="preserve">$500,000 - $749,999      </v>
      </c>
      <c r="G1097" t="str">
        <f>CLEAN("LET")</f>
        <v>LET</v>
      </c>
      <c r="H1097" t="str">
        <f>CLEAN("LET CONSTRUCTION         ")</f>
        <v xml:space="preserve">LET CONSTRUCTION         </v>
      </c>
      <c r="I1097" t="str">
        <f>CLEAN("CONST/REPLACEMENT                  ")</f>
        <v xml:space="preserve">CONST/REPLACEMENT                  </v>
      </c>
      <c r="J1097" t="str">
        <f t="shared" si="416"/>
        <v>LOC STR</v>
      </c>
      <c r="K1097" t="str">
        <f>CLEAN("LINCOLN                       ")</f>
        <v xml:space="preserve">LINCOLN                       </v>
      </c>
      <c r="L1097" t="str">
        <f>CLEAN("T HARRISON, WOODFORD ROAD          ")</f>
        <v xml:space="preserve">T HARRISON, WOODFORD ROAD          </v>
      </c>
      <c r="M1097" t="str">
        <f>CLEAN("NOISY CREEK BRIDGE, B-35-0161      ")</f>
        <v xml:space="preserve">NOISY CREEK BRIDGE, B-35-0161      </v>
      </c>
      <c r="N1097">
        <v>0</v>
      </c>
      <c r="O1097" t="str">
        <f t="shared" si="411"/>
        <v xml:space="preserve">          </v>
      </c>
      <c r="P1097" t="str">
        <f>CLEAN("LOCAL BRIDGES                                                                                       ")</f>
        <v xml:space="preserve">LOCAL BRIDGES                                                                                       </v>
      </c>
    </row>
    <row r="1098" spans="1:16" x14ac:dyDescent="0.25">
      <c r="A1098" t="str">
        <f t="shared" si="405"/>
        <v>10</v>
      </c>
      <c r="B1098" t="str">
        <f t="shared" si="415"/>
        <v>24</v>
      </c>
      <c r="C1098" s="1">
        <v>46167</v>
      </c>
      <c r="D1098" t="str">
        <f>CLEAN("9874-00-80")</f>
        <v>9874-00-80</v>
      </c>
      <c r="E1098" t="str">
        <f>CLEAN("206  ")</f>
        <v xml:space="preserve">206  </v>
      </c>
      <c r="F1098" t="str">
        <f>CLEAN("$1,000,000 - $1,999,999  ")</f>
        <v xml:space="preserve">$1,000,000 - $1,999,999  </v>
      </c>
      <c r="G1098" t="str">
        <f>CLEAN("LLC")</f>
        <v>LLC</v>
      </c>
      <c r="H1098" t="str">
        <f>CLEAN("NONLET CONSTR/REAL ESTATE")</f>
        <v>NONLET CONSTR/REAL ESTATE</v>
      </c>
      <c r="I1098" t="str">
        <f>CLEAN("CONST/CRP/MISC                     ")</f>
        <v xml:space="preserve">CONST/CRP/MISC                     </v>
      </c>
      <c r="J1098" t="str">
        <f t="shared" si="416"/>
        <v>LOC STR</v>
      </c>
      <c r="K1098" t="str">
        <f>CLEAN("ONEIDA                        ")</f>
        <v xml:space="preserve">ONEIDA                        </v>
      </c>
      <c r="L1098" t="str">
        <f>CLEAN("MINOCQUA LED STREETLIGHT CONVERSION")</f>
        <v>MINOCQUA LED STREETLIGHT CONVERSION</v>
      </c>
      <c r="M1098" t="str">
        <f>CLEAN("USH 51 VARIOUS LOCATIONS           ")</f>
        <v xml:space="preserve">USH 51 VARIOUS LOCATIONS           </v>
      </c>
      <c r="N1098">
        <v>0</v>
      </c>
      <c r="O1098" t="str">
        <f t="shared" si="411"/>
        <v xml:space="preserve">          </v>
      </c>
      <c r="P1098" t="str">
        <f>CLEAN("CARBON REDUCTION UNDER 5,000 (RURAL)                                                                ")</f>
        <v xml:space="preserve">CARBON REDUCTION UNDER 5,000 (RURAL)                                                                </v>
      </c>
    </row>
    <row r="1099" spans="1:16" x14ac:dyDescent="0.25">
      <c r="A1099" t="str">
        <f t="shared" si="405"/>
        <v>10</v>
      </c>
      <c r="B1099" t="str">
        <f t="shared" si="415"/>
        <v>24</v>
      </c>
      <c r="C1099" s="1">
        <v>46091</v>
      </c>
      <c r="D1099" t="str">
        <f>CLEAN("9877-03-71")</f>
        <v>9877-03-71</v>
      </c>
      <c r="E1099" t="str">
        <f>CLEAN("205  ")</f>
        <v xml:space="preserve">205  </v>
      </c>
      <c r="F1099" t="str">
        <f>CLEAN("$250,000 - $499,999      ")</f>
        <v xml:space="preserve">$250,000 - $499,999      </v>
      </c>
      <c r="G1099" t="str">
        <f>CLEAN("LET")</f>
        <v>LET</v>
      </c>
      <c r="H1099" t="str">
        <f>CLEAN("LET CONSTRUCTION         ")</f>
        <v xml:space="preserve">LET CONSTRUCTION         </v>
      </c>
      <c r="I1099" t="str">
        <f>CLEAN("CONST/REPLACEMENT                  ")</f>
        <v xml:space="preserve">CONST/REPLACEMENT                  </v>
      </c>
      <c r="J1099" t="str">
        <f t="shared" si="416"/>
        <v>LOC STR</v>
      </c>
      <c r="K1099" t="str">
        <f>CLEAN("ONEIDA                        ")</f>
        <v xml:space="preserve">ONEIDA                        </v>
      </c>
      <c r="L1099" t="str">
        <f>CLEAN("T PELICAN, HAYMEADOW ROAD          ")</f>
        <v xml:space="preserve">T PELICAN, HAYMEADOW ROAD          </v>
      </c>
      <c r="M1099" t="str">
        <f>CLEAN("HAYMEADOW CREEK BRIDGE P-43-0058   ")</f>
        <v xml:space="preserve">HAYMEADOW CREEK BRIDGE P-43-0058   </v>
      </c>
      <c r="N1099">
        <v>0</v>
      </c>
      <c r="O1099" t="str">
        <f t="shared" si="411"/>
        <v xml:space="preserve">          </v>
      </c>
      <c r="P1099" t="str">
        <f>CLEAN("LOCAL BRIDGES                                                                                       ")</f>
        <v xml:space="preserve">LOCAL BRIDGES                                                                                       </v>
      </c>
    </row>
    <row r="1100" spans="1:16" x14ac:dyDescent="0.25">
      <c r="A1100" t="str">
        <f t="shared" si="405"/>
        <v>10</v>
      </c>
      <c r="B1100" t="str">
        <f t="shared" si="415"/>
        <v>24</v>
      </c>
      <c r="C1100" s="1">
        <v>46035</v>
      </c>
      <c r="D1100" t="str">
        <f>CLEAN("9883-00-70")</f>
        <v>9883-00-70</v>
      </c>
      <c r="E1100" t="str">
        <f>CLEAN("205  ")</f>
        <v xml:space="preserve">205  </v>
      </c>
      <c r="F1100" t="str">
        <f>CLEAN("$1,000,000 - $1,999,999  ")</f>
        <v xml:space="preserve">$1,000,000 - $1,999,999  </v>
      </c>
      <c r="G1100" t="str">
        <f>CLEAN("LET")</f>
        <v>LET</v>
      </c>
      <c r="H1100" t="str">
        <f>CLEAN("LET CONSTRUCTION         ")</f>
        <v xml:space="preserve">LET CONSTRUCTION         </v>
      </c>
      <c r="I1100" t="str">
        <f>CLEAN("CONST/PIER REHABILITATION          ")</f>
        <v xml:space="preserve">CONST/PIER REHABILITATION          </v>
      </c>
      <c r="J1100" t="str">
        <f t="shared" si="416"/>
        <v>LOC STR</v>
      </c>
      <c r="K1100" t="str">
        <f>CLEAN("ONEIDA                        ")</f>
        <v xml:space="preserve">ONEIDA                        </v>
      </c>
      <c r="L1100" t="str">
        <f>CLEAN("T THREE LAKES, TOWN ROAD X         ")</f>
        <v xml:space="preserve">T THREE LAKES, TOWN ROAD X         </v>
      </c>
      <c r="M1100" t="str">
        <f>CLEAN("EAGLE RIVER BRIDGE B-43-0046       ")</f>
        <v xml:space="preserve">EAGLE RIVER BRIDGE B-43-0046       </v>
      </c>
      <c r="N1100">
        <v>0</v>
      </c>
      <c r="O1100" t="str">
        <f t="shared" si="411"/>
        <v xml:space="preserve">          </v>
      </c>
      <c r="P1100" t="str">
        <f>CLEAN("LOCAL BRIDGES                                                                                       ")</f>
        <v xml:space="preserve">LOCAL BRIDGES                                                                                       </v>
      </c>
    </row>
    <row r="1101" spans="1:16" x14ac:dyDescent="0.25">
      <c r="A1101" t="str">
        <f t="shared" si="405"/>
        <v>10</v>
      </c>
      <c r="B1101" t="str">
        <f t="shared" si="415"/>
        <v>24</v>
      </c>
      <c r="C1101" s="1">
        <v>46035</v>
      </c>
      <c r="D1101" t="str">
        <f>CLEAN("9894-00-72")</f>
        <v>9894-00-72</v>
      </c>
      <c r="E1101" t="str">
        <f>CLEAN("205  ")</f>
        <v xml:space="preserve">205  </v>
      </c>
      <c r="F1101" t="str">
        <f>CLEAN("$500,000 - $749,999      ")</f>
        <v xml:space="preserve">$500,000 - $749,999      </v>
      </c>
      <c r="G1101" t="str">
        <f>CLEAN("LET")</f>
        <v>LET</v>
      </c>
      <c r="H1101" t="str">
        <f>CLEAN("LET CONSTRUCTION         ")</f>
        <v xml:space="preserve">LET CONSTRUCTION         </v>
      </c>
      <c r="I1101" t="str">
        <f>CLEAN("CONST/REPLACEMENT                  ")</f>
        <v xml:space="preserve">CONST/REPLACEMENT                  </v>
      </c>
      <c r="J1101" t="str">
        <f>CLEAN("TWN RD ")</f>
        <v xml:space="preserve">TWN RD </v>
      </c>
      <c r="K1101" t="str">
        <f>CLEAN("PRICE                         ")</f>
        <v xml:space="preserve">PRICE                         </v>
      </c>
      <c r="L1101" t="str">
        <f>CLEAN("T WORCESTER, BRIDGE B-50-0096      ")</f>
        <v xml:space="preserve">T WORCESTER, BRIDGE B-50-0096      </v>
      </c>
      <c r="M1101" t="str">
        <f>CLEAN("AABAJIJIWANI-ZIIBIINSING CRK BRIDGE")</f>
        <v>AABAJIJIWANI-ZIIBIINSING CRK BRIDGE</v>
      </c>
      <c r="N1101">
        <v>7.0000000000000007E-2</v>
      </c>
      <c r="O1101" t="str">
        <f t="shared" si="411"/>
        <v xml:space="preserve">          </v>
      </c>
      <c r="P1101" t="str">
        <f>CLEAN("LOCAL BRIDGES                                                                                       ")</f>
        <v xml:space="preserve">LOCAL BRIDGES                                                                                       </v>
      </c>
    </row>
    <row r="1102" spans="1:16" x14ac:dyDescent="0.25">
      <c r="A1102" t="str">
        <f t="shared" si="405"/>
        <v>10</v>
      </c>
      <c r="B1102" t="str">
        <f>CLEAN("23")</f>
        <v>23</v>
      </c>
      <c r="C1102" s="1">
        <v>46035</v>
      </c>
      <c r="D1102" t="str">
        <f>CLEAN("9995-05-73")</f>
        <v>9995-05-73</v>
      </c>
      <c r="E1102" t="str">
        <f>CLEAN("206  ")</f>
        <v xml:space="preserve">206  </v>
      </c>
      <c r="F1102" t="str">
        <f>CLEAN("$1,000,000 - $1,999,999  ")</f>
        <v xml:space="preserve">$1,000,000 - $1,999,999  </v>
      </c>
      <c r="G1102" t="str">
        <f>CLEAN("LET")</f>
        <v>LET</v>
      </c>
      <c r="H1102" t="str">
        <f>CLEAN("LET CONSTRUCTION         ")</f>
        <v xml:space="preserve">LET CONSTRUCTION         </v>
      </c>
      <c r="I1102" t="str">
        <f>CLEAN("CONST OPS/RECST                    ")</f>
        <v xml:space="preserve">CONST OPS/RECST                    </v>
      </c>
      <c r="J1102" t="str">
        <f>CLEAN("LOC STR")</f>
        <v>LOC STR</v>
      </c>
      <c r="K1102" t="str">
        <f>CLEAN("MARINETTE                     ")</f>
        <v xml:space="preserve">MARINETTE                     </v>
      </c>
      <c r="L1102" t="str">
        <f>CLEAN("C MARINETTE, MADISON AVENUE        ")</f>
        <v xml:space="preserve">C MARINETTE, MADISON AVENUE        </v>
      </c>
      <c r="M1102" t="str">
        <f>CLEAN("HALL AVENUE TO LEWIS STREET        ")</f>
        <v xml:space="preserve">HALL AVENUE TO LEWIS STREET        </v>
      </c>
      <c r="N1102">
        <v>0.27600000000000002</v>
      </c>
      <c r="O1102" t="str">
        <f t="shared" si="411"/>
        <v xml:space="preserve">          </v>
      </c>
      <c r="P1102" t="str">
        <f>CLEAN("STP URBAN 5,000 - 20,000                                                                            ")</f>
        <v xml:space="preserve">STP URBAN 5,000 - 20,000                                                                            </v>
      </c>
    </row>
    <row r="1103" spans="1:16" x14ac:dyDescent="0.25">
      <c r="A1103" t="str">
        <f t="shared" si="405"/>
        <v>10</v>
      </c>
      <c r="B1103" t="str">
        <f>CLEAN("23")</f>
        <v>23</v>
      </c>
      <c r="C1103" s="1">
        <v>45955</v>
      </c>
      <c r="D1103" t="str">
        <f>CLEAN("9995-05-74")</f>
        <v>9995-05-74</v>
      </c>
      <c r="E1103" t="str">
        <f>CLEAN("207  ")</f>
        <v xml:space="preserve">207  </v>
      </c>
      <c r="F1103" t="str">
        <f>CLEAN("$100,000-$249,999        ")</f>
        <v xml:space="preserve">$100,000-$249,999        </v>
      </c>
      <c r="G1103" t="str">
        <f>CLEAN("R/R")</f>
        <v>R/R</v>
      </c>
      <c r="H1103" t="str">
        <f>CLEAN("NONLET CONSTR/REAL ESTATE")</f>
        <v>NONLET CONSTR/REAL ESTATE</v>
      </c>
      <c r="I1103" t="str">
        <f>CLEAN("CONST/RR CROSSING REPAIR           ")</f>
        <v xml:space="preserve">CONST/RR CROSSING REPAIR           </v>
      </c>
      <c r="J1103" t="str">
        <f>CLEAN("LOC STR")</f>
        <v>LOC STR</v>
      </c>
      <c r="K1103" t="str">
        <f>CLEAN("MARINETTE                     ")</f>
        <v xml:space="preserve">MARINETTE                     </v>
      </c>
      <c r="L1103" t="str">
        <f>CLEAN("C MARINETTE, MADISON AVENUE        ")</f>
        <v xml:space="preserve">C MARINETTE, MADISON AVENUE        </v>
      </c>
      <c r="M1103" t="str">
        <f>CLEAN("MADISON AVE RR XING 181615P SURFACE")</f>
        <v>MADISON AVE RR XING 181615P SURFACE</v>
      </c>
      <c r="N1103">
        <v>3.2000000000000001E-2</v>
      </c>
      <c r="O1103" t="str">
        <f t="shared" si="411"/>
        <v xml:space="preserve">          </v>
      </c>
      <c r="P1103" t="str">
        <f>CLEAN("RAILROAD CROSSING REPAIR                                                                            ")</f>
        <v xml:space="preserve">RAILROAD CROSSING REPAIR                                                                            </v>
      </c>
    </row>
  </sheetData>
  <pageMargins left="0.7" right="0.7" top="0.75" bottom="0.75" header="0.3" footer="0.3"/>
  <pageSetup orientation="portrait" horizontalDpi="200" verticalDpi="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FD885746AA7554C899BA37D33172C27" ma:contentTypeVersion="1" ma:contentTypeDescription="Create a new document." ma:contentTypeScope="" ma:versionID="3fb6b99b96e06590307fd6dd1f4fe925">
  <xsd:schema xmlns:xsd="http://www.w3.org/2001/XMLSchema" xmlns:xs="http://www.w3.org/2001/XMLSchema" xmlns:p="http://schemas.microsoft.com/office/2006/metadata/properties" xmlns:ns2="a8b72882-1d02-4704-8464-4e9c6e9dc531" targetNamespace="http://schemas.microsoft.com/office/2006/metadata/properties" ma:root="true" ma:fieldsID="937ac2f18fff0796367e896640cbf540" ns2:_="">
    <xsd:import namespace="a8b72882-1d02-4704-8464-4e9c6e9dc531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b72882-1d02-4704-8464-4e9c6e9dc53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A84C744-55B2-430A-ABED-668EFE2F2FC0}"/>
</file>

<file path=customXml/itemProps2.xml><?xml version="1.0" encoding="utf-8"?>
<ds:datastoreItem xmlns:ds="http://schemas.openxmlformats.org/officeDocument/2006/customXml" ds:itemID="{064BFE00-953D-4B87-A0C5-880AE6195531}"/>
</file>

<file path=customXml/itemProps3.xml><?xml version="1.0" encoding="utf-8"?>
<ds:datastoreItem xmlns:ds="http://schemas.openxmlformats.org/officeDocument/2006/customXml" ds:itemID="{AB11F9EE-D163-45D5-A2BF-DE6DAA85266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MC20250801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WisDOT Master Contract Schedule - August 2025</dc:title>
  <cp:lastModifiedBy>Thyes, Dan - DOT</cp:lastModifiedBy>
  <dcterms:created xsi:type="dcterms:W3CDTF">2025-08-01T12:18:12Z</dcterms:created>
  <dcterms:modified xsi:type="dcterms:W3CDTF">2025-08-01T12:18:12Z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0x0101009FD885746AA7554C899BA37D33172C27</vt:lpwstr>
  </property>
</Properties>
</file>