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SS\Utilities\Conferences SW Region &amp; Statewide (Utility)\2020 spreadsheets\State\"/>
    </mc:Choice>
  </mc:AlternateContent>
  <xr:revisionPtr revIDLastSave="0" documentId="10_ncr:140008_{E56AC01F-3050-42AC-9097-1D20B83D957E}" xr6:coauthVersionLast="31" xr6:coauthVersionMax="31" xr10:uidLastSave="{00000000-0000-0000-0000-000000000000}"/>
  <bookViews>
    <workbookView xWindow="0" yWindow="0" windowWidth="24870" windowHeight="10830"/>
  </bookViews>
  <sheets>
    <sheet name="1.7.20 DTK-1 State report SORTE" sheetId="1" r:id="rId1"/>
  </sheets>
  <definedNames>
    <definedName name="_xlnm.Print_Area" localSheetId="0">'1.7.20 DTK-1 State report SORTE'!$A$1:$J$519</definedName>
  </definedNames>
  <calcPr calcId="0"/>
</workbook>
</file>

<file path=xl/calcChain.xml><?xml version="1.0" encoding="utf-8"?>
<calcChain xmlns="http://schemas.openxmlformats.org/spreadsheetml/2006/main">
  <c r="B371" i="1" l="1"/>
  <c r="C371" i="1"/>
  <c r="G371" i="1"/>
  <c r="H371" i="1"/>
  <c r="I371" i="1"/>
  <c r="E371" i="1"/>
  <c r="A371" i="1"/>
  <c r="B370" i="1"/>
  <c r="C370" i="1"/>
  <c r="G370" i="1"/>
  <c r="H370" i="1"/>
  <c r="I370" i="1"/>
  <c r="E370" i="1"/>
  <c r="A370" i="1"/>
  <c r="B462" i="1"/>
  <c r="C462" i="1"/>
  <c r="G462" i="1"/>
  <c r="H462" i="1"/>
  <c r="I462" i="1"/>
  <c r="E462" i="1"/>
  <c r="A462" i="1"/>
  <c r="B445" i="1"/>
  <c r="C445" i="1"/>
  <c r="G445" i="1"/>
  <c r="H445" i="1"/>
  <c r="I445" i="1"/>
  <c r="E445" i="1"/>
  <c r="A445" i="1"/>
  <c r="B383" i="1"/>
  <c r="C383" i="1"/>
  <c r="G383" i="1"/>
  <c r="H383" i="1"/>
  <c r="I383" i="1"/>
  <c r="E383" i="1"/>
  <c r="A383" i="1"/>
  <c r="B406" i="1"/>
  <c r="C406" i="1"/>
  <c r="G406" i="1"/>
  <c r="H406" i="1"/>
  <c r="I406" i="1"/>
  <c r="E406" i="1"/>
  <c r="A406" i="1"/>
  <c r="B419" i="1"/>
  <c r="C419" i="1"/>
  <c r="G419" i="1"/>
  <c r="H419" i="1"/>
  <c r="I419" i="1"/>
  <c r="E419" i="1"/>
  <c r="A419" i="1"/>
  <c r="B427" i="1"/>
  <c r="C427" i="1"/>
  <c r="G427" i="1"/>
  <c r="H427" i="1"/>
  <c r="I427" i="1"/>
  <c r="E427" i="1"/>
  <c r="A427" i="1"/>
  <c r="B439" i="1"/>
  <c r="C439" i="1"/>
  <c r="G439" i="1"/>
  <c r="H439" i="1"/>
  <c r="I439" i="1"/>
  <c r="E439" i="1"/>
  <c r="A439" i="1"/>
  <c r="B450" i="1"/>
  <c r="C450" i="1"/>
  <c r="G450" i="1"/>
  <c r="H450" i="1"/>
  <c r="I450" i="1"/>
  <c r="E450" i="1"/>
  <c r="A450" i="1"/>
  <c r="B416" i="1"/>
  <c r="C416" i="1"/>
  <c r="G416" i="1"/>
  <c r="H416" i="1"/>
  <c r="I416" i="1"/>
  <c r="E416" i="1"/>
  <c r="A416" i="1"/>
  <c r="B428" i="1"/>
  <c r="C428" i="1"/>
  <c r="G428" i="1"/>
  <c r="H428" i="1"/>
  <c r="I428" i="1"/>
  <c r="E428" i="1"/>
  <c r="A428" i="1"/>
  <c r="B372" i="1"/>
  <c r="C372" i="1"/>
  <c r="G372" i="1"/>
  <c r="H372" i="1"/>
  <c r="I372" i="1"/>
  <c r="E372" i="1"/>
  <c r="A372" i="1"/>
  <c r="B380" i="1"/>
  <c r="C380" i="1"/>
  <c r="G380" i="1"/>
  <c r="H380" i="1"/>
  <c r="I380" i="1"/>
  <c r="E380" i="1"/>
  <c r="A380" i="1"/>
  <c r="B387" i="1"/>
  <c r="C387" i="1"/>
  <c r="G387" i="1"/>
  <c r="H387" i="1"/>
  <c r="I387" i="1"/>
  <c r="E387" i="1"/>
  <c r="A387" i="1"/>
  <c r="B388" i="1"/>
  <c r="C388" i="1"/>
  <c r="G388" i="1"/>
  <c r="H388" i="1"/>
  <c r="I388" i="1"/>
  <c r="E388" i="1"/>
  <c r="A388" i="1"/>
  <c r="B395" i="1"/>
  <c r="C395" i="1"/>
  <c r="G395" i="1"/>
  <c r="H395" i="1"/>
  <c r="I395" i="1"/>
  <c r="E395" i="1"/>
  <c r="A395" i="1"/>
  <c r="B396" i="1"/>
  <c r="C396" i="1"/>
  <c r="G396" i="1"/>
  <c r="H396" i="1"/>
  <c r="I396" i="1"/>
  <c r="E396" i="1"/>
  <c r="A396" i="1"/>
  <c r="B410" i="1"/>
  <c r="C410" i="1"/>
  <c r="G410" i="1"/>
  <c r="H410" i="1"/>
  <c r="I410" i="1"/>
  <c r="E410" i="1"/>
  <c r="A410" i="1"/>
  <c r="B397" i="1"/>
  <c r="C397" i="1"/>
  <c r="G397" i="1"/>
  <c r="H397" i="1"/>
  <c r="I397" i="1"/>
  <c r="E397" i="1"/>
  <c r="A397" i="1"/>
  <c r="B398" i="1"/>
  <c r="C398" i="1"/>
  <c r="G398" i="1"/>
  <c r="H398" i="1"/>
  <c r="I398" i="1"/>
  <c r="E398" i="1"/>
  <c r="A398" i="1"/>
  <c r="B417" i="1"/>
  <c r="C417" i="1"/>
  <c r="G417" i="1"/>
  <c r="H417" i="1"/>
  <c r="I417" i="1"/>
  <c r="E417" i="1"/>
  <c r="A417" i="1"/>
  <c r="B432" i="1"/>
  <c r="C432" i="1"/>
  <c r="G432" i="1"/>
  <c r="H432" i="1"/>
  <c r="I432" i="1"/>
  <c r="E432" i="1"/>
  <c r="A432" i="1"/>
  <c r="B411" i="1"/>
  <c r="C411" i="1"/>
  <c r="G411" i="1"/>
  <c r="H411" i="1"/>
  <c r="I411" i="1"/>
  <c r="E411" i="1"/>
  <c r="A411" i="1"/>
  <c r="B399" i="1"/>
  <c r="C399" i="1"/>
  <c r="G399" i="1"/>
  <c r="H399" i="1"/>
  <c r="I399" i="1"/>
  <c r="E399" i="1"/>
  <c r="A399" i="1"/>
  <c r="B391" i="1"/>
  <c r="C391" i="1"/>
  <c r="G391" i="1"/>
  <c r="H391" i="1"/>
  <c r="I391" i="1"/>
  <c r="E391" i="1"/>
  <c r="A391" i="1"/>
  <c r="B407" i="1"/>
  <c r="C407" i="1"/>
  <c r="G407" i="1"/>
  <c r="H407" i="1"/>
  <c r="I407" i="1"/>
  <c r="E407" i="1"/>
  <c r="A407" i="1"/>
  <c r="B375" i="1"/>
  <c r="C375" i="1"/>
  <c r="G375" i="1"/>
  <c r="H375" i="1"/>
  <c r="I375" i="1"/>
  <c r="E375" i="1"/>
  <c r="A375" i="1"/>
  <c r="B373" i="1"/>
  <c r="C373" i="1"/>
  <c r="G373" i="1"/>
  <c r="H373" i="1"/>
  <c r="I373" i="1"/>
  <c r="E373" i="1"/>
  <c r="A373" i="1"/>
  <c r="B377" i="1"/>
  <c r="C377" i="1"/>
  <c r="G377" i="1"/>
  <c r="H377" i="1"/>
  <c r="I377" i="1"/>
  <c r="E377" i="1"/>
  <c r="A377" i="1"/>
  <c r="B384" i="1"/>
  <c r="C384" i="1"/>
  <c r="G384" i="1"/>
  <c r="H384" i="1"/>
  <c r="I384" i="1"/>
  <c r="E384" i="1"/>
  <c r="A384" i="1"/>
  <c r="B382" i="1"/>
  <c r="C382" i="1"/>
  <c r="G382" i="1"/>
  <c r="H382" i="1"/>
  <c r="I382" i="1"/>
  <c r="E382" i="1"/>
  <c r="A382" i="1"/>
  <c r="B404" i="1"/>
  <c r="C404" i="1"/>
  <c r="G404" i="1"/>
  <c r="H404" i="1"/>
  <c r="I404" i="1"/>
  <c r="E404" i="1"/>
  <c r="A404" i="1"/>
  <c r="B400" i="1"/>
  <c r="C400" i="1"/>
  <c r="G400" i="1"/>
  <c r="H400" i="1"/>
  <c r="I400" i="1"/>
  <c r="E400" i="1"/>
  <c r="A400" i="1"/>
  <c r="B418" i="1"/>
  <c r="C418" i="1"/>
  <c r="G418" i="1"/>
  <c r="H418" i="1"/>
  <c r="I418" i="1"/>
  <c r="E418" i="1"/>
  <c r="A418" i="1"/>
  <c r="B429" i="1"/>
  <c r="C429" i="1"/>
  <c r="G429" i="1"/>
  <c r="H429" i="1"/>
  <c r="I429" i="1"/>
  <c r="E429" i="1"/>
  <c r="A429" i="1"/>
  <c r="B434" i="1"/>
  <c r="C434" i="1"/>
  <c r="G434" i="1"/>
  <c r="H434" i="1"/>
  <c r="I434" i="1"/>
  <c r="E434" i="1"/>
  <c r="A434" i="1"/>
  <c r="B440" i="1"/>
  <c r="C440" i="1"/>
  <c r="G440" i="1"/>
  <c r="H440" i="1"/>
  <c r="I440" i="1"/>
  <c r="E440" i="1"/>
  <c r="A440" i="1"/>
  <c r="B451" i="1"/>
  <c r="C451" i="1"/>
  <c r="G451" i="1"/>
  <c r="H451" i="1"/>
  <c r="I451" i="1"/>
  <c r="E451" i="1"/>
  <c r="A451" i="1"/>
  <c r="B415" i="1"/>
  <c r="C415" i="1"/>
  <c r="G415" i="1"/>
  <c r="H415" i="1"/>
  <c r="I415" i="1"/>
  <c r="E415" i="1"/>
  <c r="A415" i="1"/>
  <c r="B425" i="1"/>
  <c r="C425" i="1"/>
  <c r="G425" i="1"/>
  <c r="H425" i="1"/>
  <c r="I425" i="1"/>
  <c r="E425" i="1"/>
  <c r="A425" i="1"/>
  <c r="B435" i="1"/>
  <c r="C435" i="1"/>
  <c r="G435" i="1"/>
  <c r="H435" i="1"/>
  <c r="I435" i="1"/>
  <c r="E435" i="1"/>
  <c r="A435" i="1"/>
  <c r="B448" i="1"/>
  <c r="C448" i="1"/>
  <c r="G448" i="1"/>
  <c r="H448" i="1"/>
  <c r="I448" i="1"/>
  <c r="E448" i="1"/>
  <c r="A448" i="1"/>
  <c r="B374" i="1"/>
  <c r="C374" i="1"/>
  <c r="G374" i="1"/>
  <c r="H374" i="1"/>
  <c r="I374" i="1"/>
  <c r="E374" i="1"/>
  <c r="A374" i="1"/>
  <c r="B376" i="1"/>
  <c r="C376" i="1"/>
  <c r="G376" i="1"/>
  <c r="H376" i="1"/>
  <c r="I376" i="1"/>
  <c r="E376" i="1"/>
  <c r="A376" i="1"/>
  <c r="B378" i="1"/>
  <c r="C378" i="1"/>
  <c r="G378" i="1"/>
  <c r="H378" i="1"/>
  <c r="I378" i="1"/>
  <c r="E378" i="1"/>
  <c r="A378" i="1"/>
  <c r="B63" i="1"/>
  <c r="C63" i="1"/>
  <c r="G63" i="1"/>
  <c r="H63" i="1"/>
  <c r="I63" i="1"/>
  <c r="E63" i="1"/>
  <c r="A63" i="1"/>
  <c r="B64" i="1"/>
  <c r="C64" i="1"/>
  <c r="G64" i="1"/>
  <c r="H64" i="1"/>
  <c r="I64" i="1"/>
  <c r="E64" i="1"/>
  <c r="A64" i="1"/>
  <c r="B65" i="1"/>
  <c r="C65" i="1"/>
  <c r="G65" i="1"/>
  <c r="H65" i="1"/>
  <c r="I65" i="1"/>
  <c r="E65" i="1"/>
  <c r="A65" i="1"/>
  <c r="B438" i="1"/>
  <c r="C438" i="1"/>
  <c r="G438" i="1"/>
  <c r="H438" i="1"/>
  <c r="I438" i="1"/>
  <c r="E438" i="1"/>
  <c r="A438" i="1"/>
  <c r="B389" i="1"/>
  <c r="C389" i="1"/>
  <c r="G389" i="1"/>
  <c r="H389" i="1"/>
  <c r="I389" i="1"/>
  <c r="E389" i="1"/>
  <c r="A389" i="1"/>
  <c r="B390" i="1"/>
  <c r="C390" i="1"/>
  <c r="G390" i="1"/>
  <c r="H390" i="1"/>
  <c r="I390" i="1"/>
  <c r="E390" i="1"/>
  <c r="A390" i="1"/>
  <c r="B392" i="1"/>
  <c r="C392" i="1"/>
  <c r="G392" i="1"/>
  <c r="H392" i="1"/>
  <c r="I392" i="1"/>
  <c r="E392" i="1"/>
  <c r="A392" i="1"/>
  <c r="B403" i="1"/>
  <c r="C403" i="1"/>
  <c r="G403" i="1"/>
  <c r="H403" i="1"/>
  <c r="I403" i="1"/>
  <c r="E403" i="1"/>
  <c r="A403" i="1"/>
  <c r="B408" i="1"/>
  <c r="C408" i="1"/>
  <c r="G408" i="1"/>
  <c r="H408" i="1"/>
  <c r="I408" i="1"/>
  <c r="E408" i="1"/>
  <c r="A408" i="1"/>
  <c r="B420" i="1"/>
  <c r="C420" i="1"/>
  <c r="G420" i="1"/>
  <c r="H420" i="1"/>
  <c r="I420" i="1"/>
  <c r="E420" i="1"/>
  <c r="A420" i="1"/>
  <c r="B424" i="1"/>
  <c r="C424" i="1"/>
  <c r="G424" i="1"/>
  <c r="H424" i="1"/>
  <c r="I424" i="1"/>
  <c r="E424" i="1"/>
  <c r="A424" i="1"/>
  <c r="B413" i="1"/>
  <c r="C413" i="1"/>
  <c r="G413" i="1"/>
  <c r="H413" i="1"/>
  <c r="I413" i="1"/>
  <c r="E413" i="1"/>
  <c r="A413" i="1"/>
  <c r="B393" i="1"/>
  <c r="C393" i="1"/>
  <c r="G393" i="1"/>
  <c r="H393" i="1"/>
  <c r="I393" i="1"/>
  <c r="E393" i="1"/>
  <c r="A393" i="1"/>
  <c r="B421" i="1"/>
  <c r="C421" i="1"/>
  <c r="G421" i="1"/>
  <c r="H421" i="1"/>
  <c r="I421" i="1"/>
  <c r="E421" i="1"/>
  <c r="A421" i="1"/>
  <c r="B79" i="1"/>
  <c r="C79" i="1"/>
  <c r="G79" i="1"/>
  <c r="H79" i="1"/>
  <c r="I79" i="1"/>
  <c r="E79" i="1"/>
  <c r="A79" i="1"/>
  <c r="B401" i="1"/>
  <c r="C401" i="1"/>
  <c r="G401" i="1"/>
  <c r="H401" i="1"/>
  <c r="I401" i="1"/>
  <c r="E401" i="1"/>
  <c r="A401" i="1"/>
  <c r="B422" i="1"/>
  <c r="C422" i="1"/>
  <c r="G422" i="1"/>
  <c r="H422" i="1"/>
  <c r="I422" i="1"/>
  <c r="E422" i="1"/>
  <c r="A422" i="1"/>
  <c r="B74" i="1"/>
  <c r="C74" i="1"/>
  <c r="G74" i="1"/>
  <c r="H74" i="1"/>
  <c r="I74" i="1"/>
  <c r="E74" i="1"/>
  <c r="A74" i="1"/>
  <c r="B394" i="1"/>
  <c r="C394" i="1"/>
  <c r="G394" i="1"/>
  <c r="H394" i="1"/>
  <c r="I394" i="1"/>
  <c r="E394" i="1"/>
  <c r="A394" i="1"/>
  <c r="B405" i="1"/>
  <c r="C405" i="1"/>
  <c r="G405" i="1"/>
  <c r="H405" i="1"/>
  <c r="I405" i="1"/>
  <c r="E405" i="1"/>
  <c r="A405" i="1"/>
  <c r="B409" i="1"/>
  <c r="C409" i="1"/>
  <c r="G409" i="1"/>
  <c r="H409" i="1"/>
  <c r="I409" i="1"/>
  <c r="E409" i="1"/>
  <c r="A409" i="1"/>
  <c r="B430" i="1"/>
  <c r="C430" i="1"/>
  <c r="G430" i="1"/>
  <c r="H430" i="1"/>
  <c r="I430" i="1"/>
  <c r="E430" i="1"/>
  <c r="A430" i="1"/>
  <c r="B431" i="1"/>
  <c r="C431" i="1"/>
  <c r="G431" i="1"/>
  <c r="H431" i="1"/>
  <c r="I431" i="1"/>
  <c r="E431" i="1"/>
  <c r="A431" i="1"/>
  <c r="B441" i="1"/>
  <c r="C441" i="1"/>
  <c r="G441" i="1"/>
  <c r="H441" i="1"/>
  <c r="I441" i="1"/>
  <c r="E441" i="1"/>
  <c r="A441" i="1"/>
  <c r="B452" i="1"/>
  <c r="C452" i="1"/>
  <c r="G452" i="1"/>
  <c r="H452" i="1"/>
  <c r="I452" i="1"/>
  <c r="E452" i="1"/>
  <c r="A452" i="1"/>
  <c r="B442" i="1"/>
  <c r="C442" i="1"/>
  <c r="G442" i="1"/>
  <c r="H442" i="1"/>
  <c r="I442" i="1"/>
  <c r="E442" i="1"/>
  <c r="A442" i="1"/>
  <c r="B453" i="1"/>
  <c r="C453" i="1"/>
  <c r="G453" i="1"/>
  <c r="H453" i="1"/>
  <c r="I453" i="1"/>
  <c r="E453" i="1"/>
  <c r="A453" i="1"/>
  <c r="B454" i="1"/>
  <c r="C454" i="1"/>
  <c r="G454" i="1"/>
  <c r="H454" i="1"/>
  <c r="I454" i="1"/>
  <c r="E454" i="1"/>
  <c r="A454" i="1"/>
  <c r="B412" i="1"/>
  <c r="C412" i="1"/>
  <c r="G412" i="1"/>
  <c r="H412" i="1"/>
  <c r="I412" i="1"/>
  <c r="E412" i="1"/>
  <c r="A412" i="1"/>
  <c r="B443" i="1"/>
  <c r="C443" i="1"/>
  <c r="G443" i="1"/>
  <c r="H443" i="1"/>
  <c r="I443" i="1"/>
  <c r="E443" i="1"/>
  <c r="A443" i="1"/>
  <c r="B414" i="1"/>
  <c r="C414" i="1"/>
  <c r="G414" i="1"/>
  <c r="H414" i="1"/>
  <c r="I414" i="1"/>
  <c r="E414" i="1"/>
  <c r="A414" i="1"/>
  <c r="B426" i="1"/>
  <c r="C426" i="1"/>
  <c r="G426" i="1"/>
  <c r="H426" i="1"/>
  <c r="I426" i="1"/>
  <c r="E426" i="1"/>
  <c r="A426" i="1"/>
  <c r="B436" i="1"/>
  <c r="C436" i="1"/>
  <c r="G436" i="1"/>
  <c r="H436" i="1"/>
  <c r="I436" i="1"/>
  <c r="E436" i="1"/>
  <c r="A436" i="1"/>
  <c r="B449" i="1"/>
  <c r="C449" i="1"/>
  <c r="G449" i="1"/>
  <c r="H449" i="1"/>
  <c r="I449" i="1"/>
  <c r="E449" i="1"/>
  <c r="A449" i="1"/>
  <c r="B66" i="1"/>
  <c r="C66" i="1"/>
  <c r="G66" i="1"/>
  <c r="H66" i="1"/>
  <c r="I66" i="1"/>
  <c r="E66" i="1"/>
  <c r="A66" i="1"/>
  <c r="B67" i="1"/>
  <c r="C67" i="1"/>
  <c r="G67" i="1"/>
  <c r="H67" i="1"/>
  <c r="I67" i="1"/>
  <c r="E67" i="1"/>
  <c r="A67" i="1"/>
  <c r="B72" i="1"/>
  <c r="C72" i="1"/>
  <c r="G72" i="1"/>
  <c r="H72" i="1"/>
  <c r="I72" i="1"/>
  <c r="E72" i="1"/>
  <c r="A72" i="1"/>
  <c r="B70" i="1"/>
  <c r="C70" i="1"/>
  <c r="G70" i="1"/>
  <c r="H70" i="1"/>
  <c r="I70" i="1"/>
  <c r="E70" i="1"/>
  <c r="A70" i="1"/>
  <c r="B71" i="1"/>
  <c r="C71" i="1"/>
  <c r="G71" i="1"/>
  <c r="H71" i="1"/>
  <c r="I71" i="1"/>
  <c r="E71" i="1"/>
  <c r="A71" i="1"/>
  <c r="B75" i="1"/>
  <c r="C75" i="1"/>
  <c r="G75" i="1"/>
  <c r="H75" i="1"/>
  <c r="I75" i="1"/>
  <c r="E75" i="1"/>
  <c r="A75" i="1"/>
  <c r="B73" i="1"/>
  <c r="C73" i="1"/>
  <c r="G73" i="1"/>
  <c r="H73" i="1"/>
  <c r="I73" i="1"/>
  <c r="E73" i="1"/>
  <c r="A73" i="1"/>
  <c r="B84" i="1"/>
  <c r="C84" i="1"/>
  <c r="G84" i="1"/>
  <c r="H84" i="1"/>
  <c r="I84" i="1"/>
  <c r="E84" i="1"/>
  <c r="A84" i="1"/>
  <c r="B88" i="1"/>
  <c r="C88" i="1"/>
  <c r="G88" i="1"/>
  <c r="H88" i="1"/>
  <c r="I88" i="1"/>
  <c r="E88" i="1"/>
  <c r="A88" i="1"/>
  <c r="B85" i="1"/>
  <c r="C85" i="1"/>
  <c r="G85" i="1"/>
  <c r="H85" i="1"/>
  <c r="I85" i="1"/>
  <c r="E85" i="1"/>
  <c r="A85" i="1"/>
  <c r="B76" i="1"/>
  <c r="C76" i="1"/>
  <c r="G76" i="1"/>
  <c r="H76" i="1"/>
  <c r="I76" i="1"/>
  <c r="E76" i="1"/>
  <c r="A76" i="1"/>
  <c r="B89" i="1"/>
  <c r="C89" i="1"/>
  <c r="G89" i="1"/>
  <c r="H89" i="1"/>
  <c r="I89" i="1"/>
  <c r="E89" i="1"/>
  <c r="A89" i="1"/>
  <c r="B77" i="1"/>
  <c r="C77" i="1"/>
  <c r="G77" i="1"/>
  <c r="H77" i="1"/>
  <c r="I77" i="1"/>
  <c r="E77" i="1"/>
  <c r="A77" i="1"/>
  <c r="B68" i="1"/>
  <c r="C68" i="1"/>
  <c r="G68" i="1"/>
  <c r="H68" i="1"/>
  <c r="I68" i="1"/>
  <c r="E68" i="1"/>
  <c r="A68" i="1"/>
  <c r="B78" i="1"/>
  <c r="C78" i="1"/>
  <c r="G78" i="1"/>
  <c r="H78" i="1"/>
  <c r="I78" i="1"/>
  <c r="E78" i="1"/>
  <c r="A78" i="1"/>
  <c r="B99" i="1"/>
  <c r="C99" i="1"/>
  <c r="G99" i="1"/>
  <c r="H99" i="1"/>
  <c r="I99" i="1"/>
  <c r="E99" i="1"/>
  <c r="A99" i="1"/>
  <c r="B97" i="1"/>
  <c r="C97" i="1"/>
  <c r="G97" i="1"/>
  <c r="H97" i="1"/>
  <c r="I97" i="1"/>
  <c r="E97" i="1"/>
  <c r="A97" i="1"/>
  <c r="B83" i="1"/>
  <c r="C83" i="1"/>
  <c r="G83" i="1"/>
  <c r="H83" i="1"/>
  <c r="I83" i="1"/>
  <c r="E83" i="1"/>
  <c r="A83" i="1"/>
  <c r="B100" i="1"/>
  <c r="C100" i="1"/>
  <c r="G100" i="1"/>
  <c r="H100" i="1"/>
  <c r="I100" i="1"/>
  <c r="E100" i="1"/>
  <c r="A100" i="1"/>
  <c r="B69" i="1"/>
  <c r="C69" i="1"/>
  <c r="G69" i="1"/>
  <c r="H69" i="1"/>
  <c r="I69" i="1"/>
  <c r="E69" i="1"/>
  <c r="A69" i="1"/>
  <c r="B80" i="1"/>
  <c r="C80" i="1"/>
  <c r="G80" i="1"/>
  <c r="H80" i="1"/>
  <c r="I80" i="1"/>
  <c r="E80" i="1"/>
  <c r="A80" i="1"/>
  <c r="B107" i="1"/>
  <c r="C107" i="1"/>
  <c r="G107" i="1"/>
  <c r="H107" i="1"/>
  <c r="I107" i="1"/>
  <c r="E107" i="1"/>
  <c r="A107" i="1"/>
  <c r="B108" i="1"/>
  <c r="C108" i="1"/>
  <c r="G108" i="1"/>
  <c r="H108" i="1"/>
  <c r="I108" i="1"/>
  <c r="E108" i="1"/>
  <c r="A108" i="1"/>
  <c r="B86" i="1"/>
  <c r="C86" i="1"/>
  <c r="G86" i="1"/>
  <c r="H86" i="1"/>
  <c r="I86" i="1"/>
  <c r="E86" i="1"/>
  <c r="A86" i="1"/>
  <c r="B90" i="1"/>
  <c r="C90" i="1"/>
  <c r="G90" i="1"/>
  <c r="H90" i="1"/>
  <c r="I90" i="1"/>
  <c r="E90" i="1"/>
  <c r="A90" i="1"/>
  <c r="B91" i="1"/>
  <c r="C91" i="1"/>
  <c r="G91" i="1"/>
  <c r="H91" i="1"/>
  <c r="I91" i="1"/>
  <c r="E91" i="1"/>
  <c r="A91" i="1"/>
  <c r="B103" i="1"/>
  <c r="C103" i="1"/>
  <c r="G103" i="1"/>
  <c r="H103" i="1"/>
  <c r="I103" i="1"/>
  <c r="E103" i="1"/>
  <c r="A103" i="1"/>
  <c r="B104" i="1"/>
  <c r="C104" i="1"/>
  <c r="G104" i="1"/>
  <c r="H104" i="1"/>
  <c r="I104" i="1"/>
  <c r="E104" i="1"/>
  <c r="A104" i="1"/>
  <c r="B102" i="1"/>
  <c r="C102" i="1"/>
  <c r="G102" i="1"/>
  <c r="H102" i="1"/>
  <c r="I102" i="1"/>
  <c r="E102" i="1"/>
  <c r="A102" i="1"/>
  <c r="B111" i="1"/>
  <c r="C111" i="1"/>
  <c r="G111" i="1"/>
  <c r="H111" i="1"/>
  <c r="I111" i="1"/>
  <c r="E111" i="1"/>
  <c r="A111" i="1"/>
  <c r="B133" i="1"/>
  <c r="C133" i="1"/>
  <c r="G133" i="1"/>
  <c r="H133" i="1"/>
  <c r="I133" i="1"/>
  <c r="E133" i="1"/>
  <c r="A133" i="1"/>
  <c r="B146" i="1"/>
  <c r="C146" i="1"/>
  <c r="G146" i="1"/>
  <c r="H146" i="1"/>
  <c r="I146" i="1"/>
  <c r="E146" i="1"/>
  <c r="A146" i="1"/>
  <c r="B98" i="1"/>
  <c r="C98" i="1"/>
  <c r="G98" i="1"/>
  <c r="H98" i="1"/>
  <c r="I98" i="1"/>
  <c r="E98" i="1"/>
  <c r="A98" i="1"/>
  <c r="B113" i="1"/>
  <c r="C113" i="1"/>
  <c r="G113" i="1"/>
  <c r="H113" i="1"/>
  <c r="I113" i="1"/>
  <c r="E113" i="1"/>
  <c r="A113" i="1"/>
  <c r="B114" i="1"/>
  <c r="C114" i="1"/>
  <c r="G114" i="1"/>
  <c r="H114" i="1"/>
  <c r="I114" i="1"/>
  <c r="E114" i="1"/>
  <c r="A114" i="1"/>
  <c r="B118" i="1"/>
  <c r="C118" i="1"/>
  <c r="G118" i="1"/>
  <c r="H118" i="1"/>
  <c r="I118" i="1"/>
  <c r="E118" i="1"/>
  <c r="A118" i="1"/>
  <c r="B119" i="1"/>
  <c r="C119" i="1"/>
  <c r="G119" i="1"/>
  <c r="H119" i="1"/>
  <c r="I119" i="1"/>
  <c r="E119" i="1"/>
  <c r="A119" i="1"/>
  <c r="B115" i="1"/>
  <c r="C115" i="1"/>
  <c r="G115" i="1"/>
  <c r="H115" i="1"/>
  <c r="I115" i="1"/>
  <c r="E115" i="1"/>
  <c r="A115" i="1"/>
  <c r="B138" i="1"/>
  <c r="C138" i="1"/>
  <c r="G138" i="1"/>
  <c r="H138" i="1"/>
  <c r="I138" i="1"/>
  <c r="E138" i="1"/>
  <c r="A138" i="1"/>
  <c r="B139" i="1"/>
  <c r="C139" i="1"/>
  <c r="G139" i="1"/>
  <c r="H139" i="1"/>
  <c r="I139" i="1"/>
  <c r="E139" i="1"/>
  <c r="A139" i="1"/>
  <c r="B129" i="1"/>
  <c r="C129" i="1"/>
  <c r="G129" i="1"/>
  <c r="H129" i="1"/>
  <c r="I129" i="1"/>
  <c r="E129" i="1"/>
  <c r="A129" i="1"/>
  <c r="B87" i="1"/>
  <c r="C87" i="1"/>
  <c r="G87" i="1"/>
  <c r="H87" i="1"/>
  <c r="I87" i="1"/>
  <c r="E87" i="1"/>
  <c r="A87" i="1"/>
  <c r="B127" i="1"/>
  <c r="C127" i="1"/>
  <c r="G127" i="1"/>
  <c r="H127" i="1"/>
  <c r="I127" i="1"/>
  <c r="E127" i="1"/>
  <c r="A127" i="1"/>
  <c r="B136" i="1"/>
  <c r="C136" i="1"/>
  <c r="G136" i="1"/>
  <c r="H136" i="1"/>
  <c r="I136" i="1"/>
  <c r="E136" i="1"/>
  <c r="A136" i="1"/>
  <c r="B137" i="1"/>
  <c r="C137" i="1"/>
  <c r="G137" i="1"/>
  <c r="H137" i="1"/>
  <c r="I137" i="1"/>
  <c r="E137" i="1"/>
  <c r="A137" i="1"/>
  <c r="B160" i="1"/>
  <c r="C160" i="1"/>
  <c r="G160" i="1"/>
  <c r="H160" i="1"/>
  <c r="I160" i="1"/>
  <c r="E160" i="1"/>
  <c r="A160" i="1"/>
  <c r="B9" i="1"/>
  <c r="C9" i="1"/>
  <c r="G9" i="1"/>
  <c r="H9" i="1"/>
  <c r="I9" i="1"/>
  <c r="E9" i="1"/>
  <c r="A9" i="1"/>
  <c r="B132" i="1"/>
  <c r="C132" i="1"/>
  <c r="G132" i="1"/>
  <c r="H132" i="1"/>
  <c r="I132" i="1"/>
  <c r="E132" i="1"/>
  <c r="A132" i="1"/>
  <c r="B161" i="1"/>
  <c r="C161" i="1"/>
  <c r="G161" i="1"/>
  <c r="H161" i="1"/>
  <c r="I161" i="1"/>
  <c r="E161" i="1"/>
  <c r="A161" i="1"/>
  <c r="B41" i="1"/>
  <c r="C41" i="1"/>
  <c r="G41" i="1"/>
  <c r="H41" i="1"/>
  <c r="I41" i="1"/>
  <c r="E41" i="1"/>
  <c r="A41" i="1"/>
  <c r="B31" i="1"/>
  <c r="C31" i="1"/>
  <c r="G31" i="1"/>
  <c r="H31" i="1"/>
  <c r="I31" i="1"/>
  <c r="E31" i="1"/>
  <c r="A31" i="1"/>
  <c r="B494" i="1"/>
  <c r="C494" i="1"/>
  <c r="G494" i="1"/>
  <c r="H494" i="1"/>
  <c r="I494" i="1"/>
  <c r="E494" i="1"/>
  <c r="A494" i="1"/>
  <c r="B491" i="1"/>
  <c r="C491" i="1"/>
  <c r="G491" i="1"/>
  <c r="H491" i="1"/>
  <c r="I491" i="1"/>
  <c r="E491" i="1"/>
  <c r="A491" i="1"/>
  <c r="B28" i="1"/>
  <c r="C28" i="1"/>
  <c r="G28" i="1"/>
  <c r="H28" i="1"/>
  <c r="I28" i="1"/>
  <c r="E28" i="1"/>
  <c r="A28" i="1"/>
  <c r="B281" i="1"/>
  <c r="C281" i="1"/>
  <c r="G281" i="1"/>
  <c r="H281" i="1"/>
  <c r="I281" i="1"/>
  <c r="E281" i="1"/>
  <c r="A281" i="1"/>
  <c r="B282" i="1"/>
  <c r="C282" i="1"/>
  <c r="G282" i="1"/>
  <c r="H282" i="1"/>
  <c r="I282" i="1"/>
  <c r="E282" i="1"/>
  <c r="A282" i="1"/>
  <c r="B487" i="1"/>
  <c r="C487" i="1"/>
  <c r="G487" i="1"/>
  <c r="H487" i="1"/>
  <c r="I487" i="1"/>
  <c r="E487" i="1"/>
  <c r="A487" i="1"/>
  <c r="B275" i="1"/>
  <c r="C275" i="1"/>
  <c r="G275" i="1"/>
  <c r="H275" i="1"/>
  <c r="I275" i="1"/>
  <c r="E275" i="1"/>
  <c r="A275" i="1"/>
  <c r="B267" i="1"/>
  <c r="C267" i="1"/>
  <c r="G267" i="1"/>
  <c r="H267" i="1"/>
  <c r="I267" i="1"/>
  <c r="E267" i="1"/>
  <c r="A267" i="1"/>
  <c r="B285" i="1"/>
  <c r="C285" i="1"/>
  <c r="G285" i="1"/>
  <c r="H285" i="1"/>
  <c r="I285" i="1"/>
  <c r="E285" i="1"/>
  <c r="A285" i="1"/>
  <c r="B279" i="1"/>
  <c r="C279" i="1"/>
  <c r="G279" i="1"/>
  <c r="H279" i="1"/>
  <c r="I279" i="1"/>
  <c r="E279" i="1"/>
  <c r="A279" i="1"/>
  <c r="B272" i="1"/>
  <c r="C272" i="1"/>
  <c r="G272" i="1"/>
  <c r="H272" i="1"/>
  <c r="I272" i="1"/>
  <c r="E272" i="1"/>
  <c r="A272" i="1"/>
  <c r="B280" i="1"/>
  <c r="C280" i="1"/>
  <c r="G280" i="1"/>
  <c r="H280" i="1"/>
  <c r="I280" i="1"/>
  <c r="E280" i="1"/>
  <c r="A280" i="1"/>
  <c r="B277" i="1"/>
  <c r="C277" i="1"/>
  <c r="G277" i="1"/>
  <c r="H277" i="1"/>
  <c r="I277" i="1"/>
  <c r="E277" i="1"/>
  <c r="A277" i="1"/>
  <c r="B286" i="1"/>
  <c r="C286" i="1"/>
  <c r="G286" i="1"/>
  <c r="H286" i="1"/>
  <c r="I286" i="1"/>
  <c r="E286" i="1"/>
  <c r="A286" i="1"/>
  <c r="B278" i="1"/>
  <c r="C278" i="1"/>
  <c r="G278" i="1"/>
  <c r="H278" i="1"/>
  <c r="I278" i="1"/>
  <c r="E278" i="1"/>
  <c r="A278" i="1"/>
  <c r="B348" i="1"/>
  <c r="C348" i="1"/>
  <c r="G348" i="1"/>
  <c r="H348" i="1"/>
  <c r="I348" i="1"/>
  <c r="E348" i="1"/>
  <c r="A348" i="1"/>
  <c r="B353" i="1"/>
  <c r="C353" i="1"/>
  <c r="G353" i="1"/>
  <c r="H353" i="1"/>
  <c r="I353" i="1"/>
  <c r="E353" i="1"/>
  <c r="A353" i="1"/>
  <c r="B343" i="1"/>
  <c r="C343" i="1"/>
  <c r="G343" i="1"/>
  <c r="H343" i="1"/>
  <c r="I343" i="1"/>
  <c r="E343" i="1"/>
  <c r="A343" i="1"/>
  <c r="B344" i="1"/>
  <c r="C344" i="1"/>
  <c r="G344" i="1"/>
  <c r="H344" i="1"/>
  <c r="I344" i="1"/>
  <c r="E344" i="1"/>
  <c r="A344" i="1"/>
  <c r="B124" i="1"/>
  <c r="C124" i="1"/>
  <c r="G124" i="1"/>
  <c r="H124" i="1"/>
  <c r="I124" i="1"/>
  <c r="E124" i="1"/>
  <c r="A124" i="1"/>
  <c r="B246" i="1"/>
  <c r="C246" i="1"/>
  <c r="G246" i="1"/>
  <c r="H246" i="1"/>
  <c r="I246" i="1"/>
  <c r="E246" i="1"/>
  <c r="A246" i="1"/>
  <c r="B249" i="1"/>
  <c r="C249" i="1"/>
  <c r="G249" i="1"/>
  <c r="H249" i="1"/>
  <c r="I249" i="1"/>
  <c r="E249" i="1"/>
  <c r="A249" i="1"/>
  <c r="B257" i="1"/>
  <c r="C257" i="1"/>
  <c r="G257" i="1"/>
  <c r="H257" i="1"/>
  <c r="I257" i="1"/>
  <c r="E257" i="1"/>
  <c r="A257" i="1"/>
  <c r="B252" i="1"/>
  <c r="C252" i="1"/>
  <c r="G252" i="1"/>
  <c r="H252" i="1"/>
  <c r="I252" i="1"/>
  <c r="E252" i="1"/>
  <c r="A252" i="1"/>
  <c r="B260" i="1"/>
  <c r="C260" i="1"/>
  <c r="G260" i="1"/>
  <c r="H260" i="1"/>
  <c r="I260" i="1"/>
  <c r="E260" i="1"/>
  <c r="A260" i="1"/>
  <c r="B247" i="1"/>
  <c r="C247" i="1"/>
  <c r="G247" i="1"/>
  <c r="H247" i="1"/>
  <c r="I247" i="1"/>
  <c r="E247" i="1"/>
  <c r="A247" i="1"/>
  <c r="B244" i="1"/>
  <c r="C244" i="1"/>
  <c r="G244" i="1"/>
  <c r="H244" i="1"/>
  <c r="I244" i="1"/>
  <c r="E244" i="1"/>
  <c r="A244" i="1"/>
  <c r="B245" i="1"/>
  <c r="C245" i="1"/>
  <c r="G245" i="1"/>
  <c r="H245" i="1"/>
  <c r="I245" i="1"/>
  <c r="E245" i="1"/>
  <c r="A245" i="1"/>
  <c r="B248" i="1"/>
  <c r="C248" i="1"/>
  <c r="G248" i="1"/>
  <c r="H248" i="1"/>
  <c r="I248" i="1"/>
  <c r="E248" i="1"/>
  <c r="A248" i="1"/>
  <c r="B250" i="1"/>
  <c r="C250" i="1"/>
  <c r="G250" i="1"/>
  <c r="H250" i="1"/>
  <c r="I250" i="1"/>
  <c r="E250" i="1"/>
  <c r="A250" i="1"/>
  <c r="B251" i="1"/>
  <c r="C251" i="1"/>
  <c r="G251" i="1"/>
  <c r="H251" i="1"/>
  <c r="I251" i="1"/>
  <c r="E251" i="1"/>
  <c r="A251" i="1"/>
  <c r="B291" i="1"/>
  <c r="C291" i="1"/>
  <c r="G291" i="1"/>
  <c r="H291" i="1"/>
  <c r="I291" i="1"/>
  <c r="E291" i="1"/>
  <c r="A291" i="1"/>
  <c r="B307" i="1"/>
  <c r="C307" i="1"/>
  <c r="G307" i="1"/>
  <c r="H307" i="1"/>
  <c r="I307" i="1"/>
  <c r="E307" i="1"/>
  <c r="A307" i="1"/>
  <c r="B311" i="1"/>
  <c r="C311" i="1"/>
  <c r="G311" i="1"/>
  <c r="H311" i="1"/>
  <c r="I311" i="1"/>
  <c r="E311" i="1"/>
  <c r="A311" i="1"/>
  <c r="B345" i="1"/>
  <c r="C345" i="1"/>
  <c r="G345" i="1"/>
  <c r="H345" i="1"/>
  <c r="I345" i="1"/>
  <c r="E345" i="1"/>
  <c r="A345" i="1"/>
  <c r="B310" i="1"/>
  <c r="C310" i="1"/>
  <c r="G310" i="1"/>
  <c r="H310" i="1"/>
  <c r="I310" i="1"/>
  <c r="E310" i="1"/>
  <c r="A310" i="1"/>
  <c r="B346" i="1"/>
  <c r="C346" i="1"/>
  <c r="G346" i="1"/>
  <c r="H346" i="1"/>
  <c r="I346" i="1"/>
  <c r="E346" i="1"/>
  <c r="A346" i="1"/>
  <c r="B466" i="1"/>
  <c r="C466" i="1"/>
  <c r="G466" i="1"/>
  <c r="H466" i="1"/>
  <c r="I466" i="1"/>
  <c r="E466" i="1"/>
  <c r="A466" i="1"/>
  <c r="B457" i="1"/>
  <c r="C457" i="1"/>
  <c r="G457" i="1"/>
  <c r="H457" i="1"/>
  <c r="I457" i="1"/>
  <c r="E457" i="1"/>
  <c r="A457" i="1"/>
  <c r="B433" i="1"/>
  <c r="C433" i="1"/>
  <c r="G433" i="1"/>
  <c r="H433" i="1"/>
  <c r="I433" i="1"/>
  <c r="E433" i="1"/>
  <c r="A433" i="1"/>
  <c r="B189" i="1"/>
  <c r="C189" i="1"/>
  <c r="G189" i="1"/>
  <c r="H189" i="1"/>
  <c r="I189" i="1"/>
  <c r="E189" i="1"/>
  <c r="A189" i="1"/>
  <c r="B96" i="1"/>
  <c r="C96" i="1"/>
  <c r="G96" i="1"/>
  <c r="H96" i="1"/>
  <c r="I96" i="1"/>
  <c r="E96" i="1"/>
  <c r="A96" i="1"/>
  <c r="B2" i="1"/>
  <c r="C2" i="1"/>
  <c r="G2" i="1"/>
  <c r="H2" i="1"/>
  <c r="I2" i="1"/>
  <c r="E2" i="1"/>
  <c r="A2" i="1"/>
  <c r="B180" i="1"/>
  <c r="C180" i="1"/>
  <c r="G180" i="1"/>
  <c r="H180" i="1"/>
  <c r="I180" i="1"/>
  <c r="E180" i="1"/>
  <c r="A180" i="1"/>
  <c r="B7" i="1"/>
  <c r="C7" i="1"/>
  <c r="G7" i="1"/>
  <c r="H7" i="1"/>
  <c r="I7" i="1"/>
  <c r="E7" i="1"/>
  <c r="A7" i="1"/>
  <c r="B190" i="1"/>
  <c r="C190" i="1"/>
  <c r="G190" i="1"/>
  <c r="H190" i="1"/>
  <c r="I190" i="1"/>
  <c r="E190" i="1"/>
  <c r="A190" i="1"/>
  <c r="B186" i="1"/>
  <c r="C186" i="1"/>
  <c r="G186" i="1"/>
  <c r="H186" i="1"/>
  <c r="I186" i="1"/>
  <c r="E186" i="1"/>
  <c r="A186" i="1"/>
  <c r="B187" i="1"/>
  <c r="C187" i="1"/>
  <c r="G187" i="1"/>
  <c r="H187" i="1"/>
  <c r="I187" i="1"/>
  <c r="E187" i="1"/>
  <c r="A187" i="1"/>
  <c r="B29" i="1"/>
  <c r="C29" i="1"/>
  <c r="G29" i="1"/>
  <c r="H29" i="1"/>
  <c r="I29" i="1"/>
  <c r="E29" i="1"/>
  <c r="A29" i="1"/>
  <c r="B10" i="1"/>
  <c r="C10" i="1"/>
  <c r="G10" i="1"/>
  <c r="H10" i="1"/>
  <c r="I10" i="1"/>
  <c r="E10" i="1"/>
  <c r="A10" i="1"/>
  <c r="B19" i="1"/>
  <c r="C19" i="1"/>
  <c r="G19" i="1"/>
  <c r="H19" i="1"/>
  <c r="I19" i="1"/>
  <c r="E19" i="1"/>
  <c r="A19" i="1"/>
  <c r="B20" i="1"/>
  <c r="C20" i="1"/>
  <c r="G20" i="1"/>
  <c r="H20" i="1"/>
  <c r="I20" i="1"/>
  <c r="E20" i="1"/>
  <c r="A20" i="1"/>
  <c r="B147" i="1"/>
  <c r="C147" i="1"/>
  <c r="G147" i="1"/>
  <c r="H147" i="1"/>
  <c r="I147" i="1"/>
  <c r="E147" i="1"/>
  <c r="A147" i="1"/>
  <c r="B208" i="1"/>
  <c r="C208" i="1"/>
  <c r="G208" i="1"/>
  <c r="H208" i="1"/>
  <c r="I208" i="1"/>
  <c r="E208" i="1"/>
  <c r="A208" i="1"/>
  <c r="B200" i="1"/>
  <c r="C200" i="1"/>
  <c r="G200" i="1"/>
  <c r="H200" i="1"/>
  <c r="I200" i="1"/>
  <c r="E200" i="1"/>
  <c r="A200" i="1"/>
  <c r="B231" i="1"/>
  <c r="C231" i="1"/>
  <c r="G231" i="1"/>
  <c r="H231" i="1"/>
  <c r="I231" i="1"/>
  <c r="E231" i="1"/>
  <c r="A231" i="1"/>
  <c r="B162" i="1"/>
  <c r="C162" i="1"/>
  <c r="G162" i="1"/>
  <c r="H162" i="1"/>
  <c r="I162" i="1"/>
  <c r="E162" i="1"/>
  <c r="A162" i="1"/>
  <c r="B235" i="1"/>
  <c r="C235" i="1"/>
  <c r="G235" i="1"/>
  <c r="H235" i="1"/>
  <c r="I235" i="1"/>
  <c r="E235" i="1"/>
  <c r="A235" i="1"/>
  <c r="B154" i="1"/>
  <c r="C154" i="1"/>
  <c r="G154" i="1"/>
  <c r="H154" i="1"/>
  <c r="I154" i="1"/>
  <c r="E154" i="1"/>
  <c r="A154" i="1"/>
  <c r="B120" i="1"/>
  <c r="C120" i="1"/>
  <c r="G120" i="1"/>
  <c r="H120" i="1"/>
  <c r="I120" i="1"/>
  <c r="E120" i="1"/>
  <c r="A120" i="1"/>
  <c r="B110" i="1"/>
  <c r="C110" i="1"/>
  <c r="G110" i="1"/>
  <c r="H110" i="1"/>
  <c r="I110" i="1"/>
  <c r="E110" i="1"/>
  <c r="A110" i="1"/>
  <c r="B141" i="1"/>
  <c r="C141" i="1"/>
  <c r="G141" i="1"/>
  <c r="H141" i="1"/>
  <c r="I141" i="1"/>
  <c r="E141" i="1"/>
  <c r="A141" i="1"/>
  <c r="B131" i="1"/>
  <c r="C131" i="1"/>
  <c r="G131" i="1"/>
  <c r="H131" i="1"/>
  <c r="I131" i="1"/>
  <c r="E131" i="1"/>
  <c r="A131" i="1"/>
  <c r="B140" i="1"/>
  <c r="C140" i="1"/>
  <c r="G140" i="1"/>
  <c r="H140" i="1"/>
  <c r="I140" i="1"/>
  <c r="E140" i="1"/>
  <c r="A140" i="1"/>
  <c r="B81" i="1"/>
  <c r="C81" i="1"/>
  <c r="G81" i="1"/>
  <c r="H81" i="1"/>
  <c r="I81" i="1"/>
  <c r="E81" i="1"/>
  <c r="A81" i="1"/>
  <c r="B93" i="1"/>
  <c r="C93" i="1"/>
  <c r="G93" i="1"/>
  <c r="H93" i="1"/>
  <c r="I93" i="1"/>
  <c r="E93" i="1"/>
  <c r="A93" i="1"/>
  <c r="B82" i="1"/>
  <c r="C82" i="1"/>
  <c r="G82" i="1"/>
  <c r="H82" i="1"/>
  <c r="I82" i="1"/>
  <c r="E82" i="1"/>
  <c r="A82" i="1"/>
  <c r="B94" i="1"/>
  <c r="C94" i="1"/>
  <c r="G94" i="1"/>
  <c r="H94" i="1"/>
  <c r="I94" i="1"/>
  <c r="E94" i="1"/>
  <c r="A94" i="1"/>
  <c r="B109" i="1"/>
  <c r="C109" i="1"/>
  <c r="G109" i="1"/>
  <c r="H109" i="1"/>
  <c r="I109" i="1"/>
  <c r="E109" i="1"/>
  <c r="A109" i="1"/>
  <c r="B95" i="1"/>
  <c r="C95" i="1"/>
  <c r="G95" i="1"/>
  <c r="H95" i="1"/>
  <c r="I95" i="1"/>
  <c r="E95" i="1"/>
  <c r="A95" i="1"/>
  <c r="B116" i="1"/>
  <c r="C116" i="1"/>
  <c r="G116" i="1"/>
  <c r="H116" i="1"/>
  <c r="I116" i="1"/>
  <c r="E116" i="1"/>
  <c r="A116" i="1"/>
  <c r="B117" i="1"/>
  <c r="C117" i="1"/>
  <c r="G117" i="1"/>
  <c r="H117" i="1"/>
  <c r="I117" i="1"/>
  <c r="E117" i="1"/>
  <c r="A117" i="1"/>
  <c r="B105" i="1"/>
  <c r="C105" i="1"/>
  <c r="G105" i="1"/>
  <c r="H105" i="1"/>
  <c r="I105" i="1"/>
  <c r="E105" i="1"/>
  <c r="A105" i="1"/>
  <c r="B106" i="1"/>
  <c r="C106" i="1"/>
  <c r="G106" i="1"/>
  <c r="H106" i="1"/>
  <c r="I106" i="1"/>
  <c r="E106" i="1"/>
  <c r="A106" i="1"/>
  <c r="B101" i="1"/>
  <c r="C101" i="1"/>
  <c r="G101" i="1"/>
  <c r="H101" i="1"/>
  <c r="I101" i="1"/>
  <c r="E101" i="1"/>
  <c r="A101" i="1"/>
  <c r="B112" i="1"/>
  <c r="C112" i="1"/>
  <c r="G112" i="1"/>
  <c r="H112" i="1"/>
  <c r="I112" i="1"/>
  <c r="E112" i="1"/>
  <c r="A112" i="1"/>
  <c r="B123" i="1"/>
  <c r="C123" i="1"/>
  <c r="G123" i="1"/>
  <c r="H123" i="1"/>
  <c r="I123" i="1"/>
  <c r="E123" i="1"/>
  <c r="A123" i="1"/>
  <c r="B130" i="1"/>
  <c r="C130" i="1"/>
  <c r="G130" i="1"/>
  <c r="H130" i="1"/>
  <c r="I130" i="1"/>
  <c r="E130" i="1"/>
  <c r="A130" i="1"/>
  <c r="B134" i="1"/>
  <c r="C134" i="1"/>
  <c r="G134" i="1"/>
  <c r="H134" i="1"/>
  <c r="I134" i="1"/>
  <c r="E134" i="1"/>
  <c r="A134" i="1"/>
  <c r="B92" i="1"/>
  <c r="C92" i="1"/>
  <c r="G92" i="1"/>
  <c r="H92" i="1"/>
  <c r="I92" i="1"/>
  <c r="E92" i="1"/>
  <c r="A92" i="1"/>
  <c r="B259" i="1"/>
  <c r="C259" i="1"/>
  <c r="G259" i="1"/>
  <c r="H259" i="1"/>
  <c r="I259" i="1"/>
  <c r="E259" i="1"/>
  <c r="A259" i="1"/>
  <c r="B182" i="1"/>
  <c r="C182" i="1"/>
  <c r="G182" i="1"/>
  <c r="H182" i="1"/>
  <c r="I182" i="1"/>
  <c r="E182" i="1"/>
  <c r="A182" i="1"/>
  <c r="B198" i="1"/>
  <c r="C198" i="1"/>
  <c r="G198" i="1"/>
  <c r="H198" i="1"/>
  <c r="I198" i="1"/>
  <c r="E198" i="1"/>
  <c r="A198" i="1"/>
  <c r="B194" i="1"/>
  <c r="C194" i="1"/>
  <c r="G194" i="1"/>
  <c r="H194" i="1"/>
  <c r="I194" i="1"/>
  <c r="E194" i="1"/>
  <c r="A194" i="1"/>
  <c r="B39" i="1"/>
  <c r="C39" i="1"/>
  <c r="G39" i="1"/>
  <c r="H39" i="1"/>
  <c r="I39" i="1"/>
  <c r="E39" i="1"/>
  <c r="A39" i="1"/>
  <c r="B185" i="1"/>
  <c r="C185" i="1"/>
  <c r="G185" i="1"/>
  <c r="H185" i="1"/>
  <c r="I185" i="1"/>
  <c r="E185" i="1"/>
  <c r="A185" i="1"/>
  <c r="B193" i="1"/>
  <c r="C193" i="1"/>
  <c r="G193" i="1"/>
  <c r="H193" i="1"/>
  <c r="I193" i="1"/>
  <c r="E193" i="1"/>
  <c r="A193" i="1"/>
  <c r="B22" i="1"/>
  <c r="C22" i="1"/>
  <c r="G22" i="1"/>
  <c r="H22" i="1"/>
  <c r="I22" i="1"/>
  <c r="E22" i="1"/>
  <c r="A22" i="1"/>
  <c r="B23" i="1"/>
  <c r="C23" i="1"/>
  <c r="G23" i="1"/>
  <c r="H23" i="1"/>
  <c r="I23" i="1"/>
  <c r="E23" i="1"/>
  <c r="A23" i="1"/>
  <c r="B283" i="1"/>
  <c r="C283" i="1"/>
  <c r="G283" i="1"/>
  <c r="H283" i="1"/>
  <c r="I283" i="1"/>
  <c r="E283" i="1"/>
  <c r="A283" i="1"/>
  <c r="B284" i="1"/>
  <c r="C284" i="1"/>
  <c r="G284" i="1"/>
  <c r="H284" i="1"/>
  <c r="I284" i="1"/>
  <c r="E284" i="1"/>
  <c r="A284" i="1"/>
  <c r="B296" i="1"/>
  <c r="C296" i="1"/>
  <c r="G296" i="1"/>
  <c r="H296" i="1"/>
  <c r="I296" i="1"/>
  <c r="E296" i="1"/>
  <c r="A296" i="1"/>
  <c r="B318" i="1"/>
  <c r="C318" i="1"/>
  <c r="G318" i="1"/>
  <c r="H318" i="1"/>
  <c r="I318" i="1"/>
  <c r="E318" i="1"/>
  <c r="A318" i="1"/>
  <c r="B327" i="1"/>
  <c r="C327" i="1"/>
  <c r="G327" i="1"/>
  <c r="H327" i="1"/>
  <c r="I327" i="1"/>
  <c r="E327" i="1"/>
  <c r="A327" i="1"/>
  <c r="B325" i="1"/>
  <c r="C325" i="1"/>
  <c r="G325" i="1"/>
  <c r="H325" i="1"/>
  <c r="I325" i="1"/>
  <c r="E325" i="1"/>
  <c r="A325" i="1"/>
  <c r="B326" i="1"/>
  <c r="C326" i="1"/>
  <c r="G326" i="1"/>
  <c r="H326" i="1"/>
  <c r="I326" i="1"/>
  <c r="E326" i="1"/>
  <c r="A326" i="1"/>
  <c r="B319" i="1"/>
  <c r="C319" i="1"/>
  <c r="G319" i="1"/>
  <c r="H319" i="1"/>
  <c r="I319" i="1"/>
  <c r="E319" i="1"/>
  <c r="A319" i="1"/>
  <c r="B323" i="1"/>
  <c r="C323" i="1"/>
  <c r="G323" i="1"/>
  <c r="H323" i="1"/>
  <c r="I323" i="1"/>
  <c r="E323" i="1"/>
  <c r="A323" i="1"/>
  <c r="B324" i="1"/>
  <c r="C324" i="1"/>
  <c r="G324" i="1"/>
  <c r="H324" i="1"/>
  <c r="I324" i="1"/>
  <c r="E324" i="1"/>
  <c r="A324" i="1"/>
  <c r="B320" i="1"/>
  <c r="C320" i="1"/>
  <c r="G320" i="1"/>
  <c r="H320" i="1"/>
  <c r="I320" i="1"/>
  <c r="E320" i="1"/>
  <c r="A320" i="1"/>
  <c r="B321" i="1"/>
  <c r="C321" i="1"/>
  <c r="G321" i="1"/>
  <c r="H321" i="1"/>
  <c r="I321" i="1"/>
  <c r="E321" i="1"/>
  <c r="A321" i="1"/>
  <c r="B322" i="1"/>
  <c r="C322" i="1"/>
  <c r="G322" i="1"/>
  <c r="H322" i="1"/>
  <c r="I322" i="1"/>
  <c r="E322" i="1"/>
  <c r="A322" i="1"/>
  <c r="B242" i="1"/>
  <c r="C242" i="1"/>
  <c r="G242" i="1"/>
  <c r="H242" i="1"/>
  <c r="I242" i="1"/>
  <c r="E242" i="1"/>
  <c r="A242" i="1"/>
  <c r="B360" i="1"/>
  <c r="C360" i="1"/>
  <c r="G360" i="1"/>
  <c r="H360" i="1"/>
  <c r="I360" i="1"/>
  <c r="E360" i="1"/>
  <c r="A360" i="1"/>
  <c r="B503" i="1"/>
  <c r="C503" i="1"/>
  <c r="G503" i="1"/>
  <c r="H503" i="1"/>
  <c r="I503" i="1"/>
  <c r="E503" i="1"/>
  <c r="A503" i="1"/>
  <c r="B363" i="1"/>
  <c r="C363" i="1"/>
  <c r="G363" i="1"/>
  <c r="H363" i="1"/>
  <c r="I363" i="1"/>
  <c r="E363" i="1"/>
  <c r="A363" i="1"/>
  <c r="B293" i="1"/>
  <c r="C293" i="1"/>
  <c r="G293" i="1"/>
  <c r="H293" i="1"/>
  <c r="I293" i="1"/>
  <c r="E293" i="1"/>
  <c r="A293" i="1"/>
  <c r="B512" i="1"/>
  <c r="C512" i="1"/>
  <c r="G512" i="1"/>
  <c r="H512" i="1"/>
  <c r="I512" i="1"/>
  <c r="E512" i="1"/>
  <c r="A512" i="1"/>
  <c r="B502" i="1"/>
  <c r="C502" i="1"/>
  <c r="G502" i="1"/>
  <c r="H502" i="1"/>
  <c r="I502" i="1"/>
  <c r="E502" i="1"/>
  <c r="A502" i="1"/>
  <c r="B305" i="1"/>
  <c r="C305" i="1"/>
  <c r="G305" i="1"/>
  <c r="H305" i="1"/>
  <c r="I305" i="1"/>
  <c r="E305" i="1"/>
  <c r="A305" i="1"/>
  <c r="B306" i="1"/>
  <c r="C306" i="1"/>
  <c r="G306" i="1"/>
  <c r="H306" i="1"/>
  <c r="I306" i="1"/>
  <c r="E306" i="1"/>
  <c r="A306" i="1"/>
  <c r="B298" i="1"/>
  <c r="C298" i="1"/>
  <c r="G298" i="1"/>
  <c r="H298" i="1"/>
  <c r="I298" i="1"/>
  <c r="E298" i="1"/>
  <c r="A298" i="1"/>
  <c r="B299" i="1"/>
  <c r="C299" i="1"/>
  <c r="G299" i="1"/>
  <c r="H299" i="1"/>
  <c r="I299" i="1"/>
  <c r="E299" i="1"/>
  <c r="A299" i="1"/>
  <c r="B300" i="1"/>
  <c r="C300" i="1"/>
  <c r="G300" i="1"/>
  <c r="H300" i="1"/>
  <c r="I300" i="1"/>
  <c r="E300" i="1"/>
  <c r="A300" i="1"/>
  <c r="B506" i="1"/>
  <c r="C506" i="1"/>
  <c r="G506" i="1"/>
  <c r="H506" i="1"/>
  <c r="I506" i="1"/>
  <c r="E506" i="1"/>
  <c r="A506" i="1"/>
  <c r="B507" i="1"/>
  <c r="C507" i="1"/>
  <c r="G507" i="1"/>
  <c r="H507" i="1"/>
  <c r="I507" i="1"/>
  <c r="E507" i="1"/>
  <c r="A507" i="1"/>
  <c r="B202" i="1"/>
  <c r="C202" i="1"/>
  <c r="G202" i="1"/>
  <c r="H202" i="1"/>
  <c r="I202" i="1"/>
  <c r="E202" i="1"/>
  <c r="A202" i="1"/>
  <c r="B209" i="1"/>
  <c r="C209" i="1"/>
  <c r="G209" i="1"/>
  <c r="H209" i="1"/>
  <c r="I209" i="1"/>
  <c r="E209" i="1"/>
  <c r="A209" i="1"/>
  <c r="B217" i="1"/>
  <c r="C217" i="1"/>
  <c r="G217" i="1"/>
  <c r="H217" i="1"/>
  <c r="I217" i="1"/>
  <c r="E217" i="1"/>
  <c r="A217" i="1"/>
  <c r="B210" i="1"/>
  <c r="C210" i="1"/>
  <c r="G210" i="1"/>
  <c r="H210" i="1"/>
  <c r="I210" i="1"/>
  <c r="E210" i="1"/>
  <c r="A210" i="1"/>
  <c r="B201" i="1"/>
  <c r="C201" i="1"/>
  <c r="G201" i="1"/>
  <c r="H201" i="1"/>
  <c r="I201" i="1"/>
  <c r="E201" i="1"/>
  <c r="A201" i="1"/>
  <c r="B44" i="1"/>
  <c r="C44" i="1"/>
  <c r="G44" i="1"/>
  <c r="H44" i="1"/>
  <c r="I44" i="1"/>
  <c r="E44" i="1"/>
  <c r="A44" i="1"/>
  <c r="B50" i="1"/>
  <c r="C50" i="1"/>
  <c r="G50" i="1"/>
  <c r="H50" i="1"/>
  <c r="I50" i="1"/>
  <c r="E50" i="1"/>
  <c r="A50" i="1"/>
  <c r="B43" i="1"/>
  <c r="C43" i="1"/>
  <c r="G43" i="1"/>
  <c r="H43" i="1"/>
  <c r="I43" i="1"/>
  <c r="E43" i="1"/>
  <c r="A43" i="1"/>
  <c r="B52" i="1"/>
  <c r="C52" i="1"/>
  <c r="G52" i="1"/>
  <c r="H52" i="1"/>
  <c r="I52" i="1"/>
  <c r="E52" i="1"/>
  <c r="A52" i="1"/>
  <c r="B469" i="1"/>
  <c r="C469" i="1"/>
  <c r="G469" i="1"/>
  <c r="H469" i="1"/>
  <c r="I469" i="1"/>
  <c r="E469" i="1"/>
  <c r="A469" i="1"/>
  <c r="B145" i="1"/>
  <c r="C145" i="1"/>
  <c r="G145" i="1"/>
  <c r="H145" i="1"/>
  <c r="I145" i="1"/>
  <c r="E145" i="1"/>
  <c r="A145" i="1"/>
  <c r="B155" i="1"/>
  <c r="C155" i="1"/>
  <c r="G155" i="1"/>
  <c r="H155" i="1"/>
  <c r="I155" i="1"/>
  <c r="E155" i="1"/>
  <c r="A155" i="1"/>
  <c r="B156" i="1"/>
  <c r="C156" i="1"/>
  <c r="G156" i="1"/>
  <c r="H156" i="1"/>
  <c r="I156" i="1"/>
  <c r="E156" i="1"/>
  <c r="A156" i="1"/>
  <c r="B207" i="1"/>
  <c r="C207" i="1"/>
  <c r="G207" i="1"/>
  <c r="H207" i="1"/>
  <c r="I207" i="1"/>
  <c r="E207" i="1"/>
  <c r="A207" i="1"/>
  <c r="B206" i="1"/>
  <c r="C206" i="1"/>
  <c r="G206" i="1"/>
  <c r="H206" i="1"/>
  <c r="I206" i="1"/>
  <c r="E206" i="1"/>
  <c r="A206" i="1"/>
  <c r="B458" i="1"/>
  <c r="C458" i="1"/>
  <c r="G458" i="1"/>
  <c r="H458" i="1"/>
  <c r="I458" i="1"/>
  <c r="E458" i="1"/>
  <c r="A458" i="1"/>
  <c r="B459" i="1"/>
  <c r="C459" i="1"/>
  <c r="G459" i="1"/>
  <c r="H459" i="1"/>
  <c r="I459" i="1"/>
  <c r="E459" i="1"/>
  <c r="A459" i="1"/>
  <c r="B227" i="1"/>
  <c r="C227" i="1"/>
  <c r="G227" i="1"/>
  <c r="H227" i="1"/>
  <c r="I227" i="1"/>
  <c r="E227" i="1"/>
  <c r="A227" i="1"/>
  <c r="B339" i="1"/>
  <c r="C339" i="1"/>
  <c r="G339" i="1"/>
  <c r="H339" i="1"/>
  <c r="I339" i="1"/>
  <c r="E339" i="1"/>
  <c r="A339" i="1"/>
  <c r="B331" i="1"/>
  <c r="C331" i="1"/>
  <c r="G331" i="1"/>
  <c r="H331" i="1"/>
  <c r="I331" i="1"/>
  <c r="E331" i="1"/>
  <c r="A331" i="1"/>
  <c r="B225" i="1"/>
  <c r="C225" i="1"/>
  <c r="G225" i="1"/>
  <c r="H225" i="1"/>
  <c r="I225" i="1"/>
  <c r="E225" i="1"/>
  <c r="A225" i="1"/>
  <c r="B226" i="1"/>
  <c r="C226" i="1"/>
  <c r="G226" i="1"/>
  <c r="H226" i="1"/>
  <c r="I226" i="1"/>
  <c r="E226" i="1"/>
  <c r="A226" i="1"/>
  <c r="B215" i="1"/>
  <c r="C215" i="1"/>
  <c r="G215" i="1"/>
  <c r="H215" i="1"/>
  <c r="I215" i="1"/>
  <c r="E215" i="1"/>
  <c r="A215" i="1"/>
  <c r="B218" i="1"/>
  <c r="C218" i="1"/>
  <c r="G218" i="1"/>
  <c r="H218" i="1"/>
  <c r="I218" i="1"/>
  <c r="E218" i="1"/>
  <c r="A218" i="1"/>
  <c r="B330" i="1"/>
  <c r="C330" i="1"/>
  <c r="G330" i="1"/>
  <c r="H330" i="1"/>
  <c r="I330" i="1"/>
  <c r="E330" i="1"/>
  <c r="A330" i="1"/>
  <c r="B195" i="1"/>
  <c r="C195" i="1"/>
  <c r="G195" i="1"/>
  <c r="H195" i="1"/>
  <c r="I195" i="1"/>
  <c r="E195" i="1"/>
  <c r="A195" i="1"/>
  <c r="B188" i="1"/>
  <c r="C188" i="1"/>
  <c r="G188" i="1"/>
  <c r="H188" i="1"/>
  <c r="I188" i="1"/>
  <c r="E188" i="1"/>
  <c r="A188" i="1"/>
  <c r="B179" i="1"/>
  <c r="C179" i="1"/>
  <c r="G179" i="1"/>
  <c r="H179" i="1"/>
  <c r="I179" i="1"/>
  <c r="E179" i="1"/>
  <c r="A179" i="1"/>
  <c r="B192" i="1"/>
  <c r="C192" i="1"/>
  <c r="G192" i="1"/>
  <c r="H192" i="1"/>
  <c r="I192" i="1"/>
  <c r="E192" i="1"/>
  <c r="A192" i="1"/>
  <c r="B262" i="1"/>
  <c r="C262" i="1"/>
  <c r="G262" i="1"/>
  <c r="H262" i="1"/>
  <c r="I262" i="1"/>
  <c r="E262" i="1"/>
  <c r="A262" i="1"/>
  <c r="B163" i="1"/>
  <c r="C163" i="1"/>
  <c r="G163" i="1"/>
  <c r="H163" i="1"/>
  <c r="I163" i="1"/>
  <c r="E163" i="1"/>
  <c r="A163" i="1"/>
  <c r="B174" i="1"/>
  <c r="C174" i="1"/>
  <c r="G174" i="1"/>
  <c r="H174" i="1"/>
  <c r="I174" i="1"/>
  <c r="E174" i="1"/>
  <c r="A174" i="1"/>
  <c r="B168" i="1"/>
  <c r="C168" i="1"/>
  <c r="G168" i="1"/>
  <c r="H168" i="1"/>
  <c r="I168" i="1"/>
  <c r="E168" i="1"/>
  <c r="A168" i="1"/>
  <c r="B142" i="1"/>
  <c r="C142" i="1"/>
  <c r="G142" i="1"/>
  <c r="H142" i="1"/>
  <c r="I142" i="1"/>
  <c r="E142" i="1"/>
  <c r="A142" i="1"/>
  <c r="B122" i="1"/>
  <c r="C122" i="1"/>
  <c r="G122" i="1"/>
  <c r="H122" i="1"/>
  <c r="I122" i="1"/>
  <c r="E122" i="1"/>
  <c r="A122" i="1"/>
  <c r="B263" i="1"/>
  <c r="C263" i="1"/>
  <c r="G263" i="1"/>
  <c r="H263" i="1"/>
  <c r="I263" i="1"/>
  <c r="E263" i="1"/>
  <c r="A263" i="1"/>
  <c r="B461" i="1"/>
  <c r="C461" i="1"/>
  <c r="G461" i="1"/>
  <c r="H461" i="1"/>
  <c r="I461" i="1"/>
  <c r="E461" i="1"/>
  <c r="A461" i="1"/>
  <c r="B197" i="1"/>
  <c r="C197" i="1"/>
  <c r="G197" i="1"/>
  <c r="H197" i="1"/>
  <c r="I197" i="1"/>
  <c r="E197" i="1"/>
  <c r="A197" i="1"/>
  <c r="B465" i="1"/>
  <c r="C465" i="1"/>
  <c r="G465" i="1"/>
  <c r="H465" i="1"/>
  <c r="I465" i="1"/>
  <c r="E465" i="1"/>
  <c r="A465" i="1"/>
  <c r="B467" i="1"/>
  <c r="C467" i="1"/>
  <c r="G467" i="1"/>
  <c r="H467" i="1"/>
  <c r="I467" i="1"/>
  <c r="E467" i="1"/>
  <c r="A467" i="1"/>
  <c r="B258" i="1"/>
  <c r="C258" i="1"/>
  <c r="G258" i="1"/>
  <c r="H258" i="1"/>
  <c r="I258" i="1"/>
  <c r="E258" i="1"/>
  <c r="A258" i="1"/>
  <c r="B254" i="1"/>
  <c r="C254" i="1"/>
  <c r="G254" i="1"/>
  <c r="H254" i="1"/>
  <c r="I254" i="1"/>
  <c r="E254" i="1"/>
  <c r="A254" i="1"/>
  <c r="B255" i="1"/>
  <c r="C255" i="1"/>
  <c r="G255" i="1"/>
  <c r="H255" i="1"/>
  <c r="I255" i="1"/>
  <c r="E255" i="1"/>
  <c r="A255" i="1"/>
  <c r="B253" i="1"/>
  <c r="C253" i="1"/>
  <c r="G253" i="1"/>
  <c r="H253" i="1"/>
  <c r="I253" i="1"/>
  <c r="E253" i="1"/>
  <c r="A253" i="1"/>
  <c r="B256" i="1"/>
  <c r="C256" i="1"/>
  <c r="G256" i="1"/>
  <c r="H256" i="1"/>
  <c r="I256" i="1"/>
  <c r="E256" i="1"/>
  <c r="A256" i="1"/>
  <c r="B264" i="1"/>
  <c r="C264" i="1"/>
  <c r="G264" i="1"/>
  <c r="H264" i="1"/>
  <c r="I264" i="1"/>
  <c r="E264" i="1"/>
  <c r="A264" i="1"/>
  <c r="B261" i="1"/>
  <c r="C261" i="1"/>
  <c r="G261" i="1"/>
  <c r="H261" i="1"/>
  <c r="I261" i="1"/>
  <c r="E261" i="1"/>
  <c r="A261" i="1"/>
  <c r="B181" i="1"/>
  <c r="C181" i="1"/>
  <c r="G181" i="1"/>
  <c r="H181" i="1"/>
  <c r="I181" i="1"/>
  <c r="E181" i="1"/>
  <c r="A181" i="1"/>
  <c r="B165" i="1"/>
  <c r="C165" i="1"/>
  <c r="G165" i="1"/>
  <c r="H165" i="1"/>
  <c r="I165" i="1"/>
  <c r="E165" i="1"/>
  <c r="A165" i="1"/>
  <c r="B24" i="1"/>
  <c r="C24" i="1"/>
  <c r="G24" i="1"/>
  <c r="H24" i="1"/>
  <c r="I24" i="1"/>
  <c r="E24" i="1"/>
  <c r="A24" i="1"/>
  <c r="B25" i="1"/>
  <c r="C25" i="1"/>
  <c r="G25" i="1"/>
  <c r="H25" i="1"/>
  <c r="I25" i="1"/>
  <c r="E25" i="1"/>
  <c r="A25" i="1"/>
  <c r="B265" i="1"/>
  <c r="C265" i="1"/>
  <c r="G265" i="1"/>
  <c r="H265" i="1"/>
  <c r="I265" i="1"/>
  <c r="E265" i="1"/>
  <c r="A265" i="1"/>
  <c r="B191" i="1"/>
  <c r="C191" i="1"/>
  <c r="G191" i="1"/>
  <c r="H191" i="1"/>
  <c r="I191" i="1"/>
  <c r="E191" i="1"/>
  <c r="A191" i="1"/>
  <c r="B196" i="1"/>
  <c r="C196" i="1"/>
  <c r="G196" i="1"/>
  <c r="H196" i="1"/>
  <c r="I196" i="1"/>
  <c r="E196" i="1"/>
  <c r="A196" i="1"/>
  <c r="B276" i="1"/>
  <c r="C276" i="1"/>
  <c r="G276" i="1"/>
  <c r="H276" i="1"/>
  <c r="I276" i="1"/>
  <c r="E276" i="1"/>
  <c r="A276" i="1"/>
  <c r="B478" i="1"/>
  <c r="C478" i="1"/>
  <c r="G478" i="1"/>
  <c r="H478" i="1"/>
  <c r="I478" i="1"/>
  <c r="E478" i="1"/>
  <c r="A478" i="1"/>
  <c r="B479" i="1"/>
  <c r="C479" i="1"/>
  <c r="G479" i="1"/>
  <c r="H479" i="1"/>
  <c r="I479" i="1"/>
  <c r="E479" i="1"/>
  <c r="A479" i="1"/>
  <c r="B480" i="1"/>
  <c r="C480" i="1"/>
  <c r="G480" i="1"/>
  <c r="H480" i="1"/>
  <c r="I480" i="1"/>
  <c r="E480" i="1"/>
  <c r="A480" i="1"/>
  <c r="B513" i="1"/>
  <c r="C513" i="1"/>
  <c r="G513" i="1"/>
  <c r="H513" i="1"/>
  <c r="I513" i="1"/>
  <c r="E513" i="1"/>
  <c r="A513" i="1"/>
  <c r="B518" i="1"/>
  <c r="C518" i="1"/>
  <c r="G518" i="1"/>
  <c r="H518" i="1"/>
  <c r="I518" i="1"/>
  <c r="E518" i="1"/>
  <c r="A518" i="1"/>
  <c r="B481" i="1"/>
  <c r="C481" i="1"/>
  <c r="G481" i="1"/>
  <c r="H481" i="1"/>
  <c r="I481" i="1"/>
  <c r="E481" i="1"/>
  <c r="A481" i="1"/>
  <c r="B475" i="1"/>
  <c r="C475" i="1"/>
  <c r="G475" i="1"/>
  <c r="H475" i="1"/>
  <c r="I475" i="1"/>
  <c r="E475" i="1"/>
  <c r="A475" i="1"/>
  <c r="B476" i="1"/>
  <c r="C476" i="1"/>
  <c r="G476" i="1"/>
  <c r="H476" i="1"/>
  <c r="I476" i="1"/>
  <c r="E476" i="1"/>
  <c r="A476" i="1"/>
  <c r="B477" i="1"/>
  <c r="C477" i="1"/>
  <c r="G477" i="1"/>
  <c r="H477" i="1"/>
  <c r="I477" i="1"/>
  <c r="E477" i="1"/>
  <c r="A477" i="1"/>
  <c r="B492" i="1"/>
  <c r="C492" i="1"/>
  <c r="G492" i="1"/>
  <c r="H492" i="1"/>
  <c r="I492" i="1"/>
  <c r="E492" i="1"/>
  <c r="A492" i="1"/>
  <c r="B368" i="1"/>
  <c r="C368" i="1"/>
  <c r="G368" i="1"/>
  <c r="H368" i="1"/>
  <c r="I368" i="1"/>
  <c r="E368" i="1"/>
  <c r="A368" i="1"/>
  <c r="B482" i="1"/>
  <c r="C482" i="1"/>
  <c r="G482" i="1"/>
  <c r="H482" i="1"/>
  <c r="I482" i="1"/>
  <c r="E482" i="1"/>
  <c r="A482" i="1"/>
  <c r="B483" i="1"/>
  <c r="C483" i="1"/>
  <c r="G483" i="1"/>
  <c r="H483" i="1"/>
  <c r="I483" i="1"/>
  <c r="E483" i="1"/>
  <c r="A483" i="1"/>
  <c r="B484" i="1"/>
  <c r="C484" i="1"/>
  <c r="G484" i="1"/>
  <c r="H484" i="1"/>
  <c r="I484" i="1"/>
  <c r="E484" i="1"/>
  <c r="A484" i="1"/>
  <c r="B488" i="1"/>
  <c r="C488" i="1"/>
  <c r="G488" i="1"/>
  <c r="H488" i="1"/>
  <c r="I488" i="1"/>
  <c r="E488" i="1"/>
  <c r="A488" i="1"/>
  <c r="B485" i="1"/>
  <c r="C485" i="1"/>
  <c r="G485" i="1"/>
  <c r="H485" i="1"/>
  <c r="I485" i="1"/>
  <c r="E485" i="1"/>
  <c r="A485" i="1"/>
  <c r="B486" i="1"/>
  <c r="C486" i="1"/>
  <c r="G486" i="1"/>
  <c r="H486" i="1"/>
  <c r="I486" i="1"/>
  <c r="E486" i="1"/>
  <c r="A486" i="1"/>
  <c r="B519" i="1"/>
  <c r="C519" i="1"/>
  <c r="G519" i="1"/>
  <c r="H519" i="1"/>
  <c r="I519" i="1"/>
  <c r="E519" i="1"/>
  <c r="A519" i="1"/>
  <c r="B515" i="1"/>
  <c r="C515" i="1"/>
  <c r="G515" i="1"/>
  <c r="H515" i="1"/>
  <c r="I515" i="1"/>
  <c r="E515" i="1"/>
  <c r="A515" i="1"/>
  <c r="B294" i="1"/>
  <c r="C294" i="1"/>
  <c r="G294" i="1"/>
  <c r="H294" i="1"/>
  <c r="I294" i="1"/>
  <c r="E294" i="1"/>
  <c r="A294" i="1"/>
  <c r="B349" i="1"/>
  <c r="C349" i="1"/>
  <c r="G349" i="1"/>
  <c r="H349" i="1"/>
  <c r="I349" i="1"/>
  <c r="E349" i="1"/>
  <c r="A349" i="1"/>
  <c r="B501" i="1"/>
  <c r="C501" i="1"/>
  <c r="G501" i="1"/>
  <c r="H501" i="1"/>
  <c r="I501" i="1"/>
  <c r="E501" i="1"/>
  <c r="A501" i="1"/>
  <c r="B347" i="1"/>
  <c r="C347" i="1"/>
  <c r="G347" i="1"/>
  <c r="H347" i="1"/>
  <c r="I347" i="1"/>
  <c r="E347" i="1"/>
  <c r="A347" i="1"/>
  <c r="B164" i="1"/>
  <c r="C164" i="1"/>
  <c r="G164" i="1"/>
  <c r="H164" i="1"/>
  <c r="I164" i="1"/>
  <c r="E164" i="1"/>
  <c r="A164" i="1"/>
  <c r="B508" i="1"/>
  <c r="C508" i="1"/>
  <c r="G508" i="1"/>
  <c r="H508" i="1"/>
  <c r="I508" i="1"/>
  <c r="E508" i="1"/>
  <c r="A508" i="1"/>
  <c r="B148" i="1"/>
  <c r="C148" i="1"/>
  <c r="G148" i="1"/>
  <c r="H148" i="1"/>
  <c r="I148" i="1"/>
  <c r="E148" i="1"/>
  <c r="A148" i="1"/>
  <c r="B125" i="1"/>
  <c r="C125" i="1"/>
  <c r="G125" i="1"/>
  <c r="H125" i="1"/>
  <c r="I125" i="1"/>
  <c r="E125" i="1"/>
  <c r="A125" i="1"/>
  <c r="B437" i="1"/>
  <c r="C437" i="1"/>
  <c r="G437" i="1"/>
  <c r="H437" i="1"/>
  <c r="I437" i="1"/>
  <c r="E437" i="1"/>
  <c r="A437" i="1"/>
  <c r="B126" i="1"/>
  <c r="C126" i="1"/>
  <c r="G126" i="1"/>
  <c r="H126" i="1"/>
  <c r="I126" i="1"/>
  <c r="E126" i="1"/>
  <c r="A126" i="1"/>
  <c r="B149" i="1"/>
  <c r="C149" i="1"/>
  <c r="G149" i="1"/>
  <c r="H149" i="1"/>
  <c r="I149" i="1"/>
  <c r="E149" i="1"/>
  <c r="A149" i="1"/>
  <c r="B504" i="1"/>
  <c r="C504" i="1"/>
  <c r="G504" i="1"/>
  <c r="H504" i="1"/>
  <c r="I504" i="1"/>
  <c r="E504" i="1"/>
  <c r="A504" i="1"/>
  <c r="B51" i="1"/>
  <c r="C51" i="1"/>
  <c r="G51" i="1"/>
  <c r="H51" i="1"/>
  <c r="I51" i="1"/>
  <c r="E51" i="1"/>
  <c r="A51" i="1"/>
  <c r="B505" i="1"/>
  <c r="C505" i="1"/>
  <c r="G505" i="1"/>
  <c r="H505" i="1"/>
  <c r="I505" i="1"/>
  <c r="E505" i="1"/>
  <c r="A505" i="1"/>
  <c r="B315" i="1"/>
  <c r="C315" i="1"/>
  <c r="G315" i="1"/>
  <c r="H315" i="1"/>
  <c r="I315" i="1"/>
  <c r="E315" i="1"/>
  <c r="A315" i="1"/>
  <c r="B302" i="1"/>
  <c r="C302" i="1"/>
  <c r="G302" i="1"/>
  <c r="H302" i="1"/>
  <c r="I302" i="1"/>
  <c r="E302" i="1"/>
  <c r="A302" i="1"/>
  <c r="B498" i="1"/>
  <c r="C498" i="1"/>
  <c r="G498" i="1"/>
  <c r="H498" i="1"/>
  <c r="I498" i="1"/>
  <c r="E498" i="1"/>
  <c r="A498" i="1"/>
  <c r="B499" i="1"/>
  <c r="C499" i="1"/>
  <c r="G499" i="1"/>
  <c r="H499" i="1"/>
  <c r="I499" i="1"/>
  <c r="E499" i="1"/>
  <c r="A499" i="1"/>
  <c r="B500" i="1"/>
  <c r="C500" i="1"/>
  <c r="G500" i="1"/>
  <c r="H500" i="1"/>
  <c r="I500" i="1"/>
  <c r="E500" i="1"/>
  <c r="A500" i="1"/>
  <c r="B46" i="1"/>
  <c r="C46" i="1"/>
  <c r="G46" i="1"/>
  <c r="H46" i="1"/>
  <c r="I46" i="1"/>
  <c r="E46" i="1"/>
  <c r="A46" i="1"/>
  <c r="B45" i="1"/>
  <c r="C45" i="1"/>
  <c r="G45" i="1"/>
  <c r="H45" i="1"/>
  <c r="I45" i="1"/>
  <c r="E45" i="1"/>
  <c r="A45" i="1"/>
  <c r="B47" i="1"/>
  <c r="C47" i="1"/>
  <c r="G47" i="1"/>
  <c r="H47" i="1"/>
  <c r="I47" i="1"/>
  <c r="E47" i="1"/>
  <c r="A47" i="1"/>
  <c r="B54" i="1"/>
  <c r="C54" i="1"/>
  <c r="G54" i="1"/>
  <c r="H54" i="1"/>
  <c r="I54" i="1"/>
  <c r="E54" i="1"/>
  <c r="A54" i="1"/>
  <c r="B55" i="1"/>
  <c r="C55" i="1"/>
  <c r="G55" i="1"/>
  <c r="H55" i="1"/>
  <c r="I55" i="1"/>
  <c r="E55" i="1"/>
  <c r="A55" i="1"/>
  <c r="B56" i="1"/>
  <c r="C56" i="1"/>
  <c r="G56" i="1"/>
  <c r="H56" i="1"/>
  <c r="I56" i="1"/>
  <c r="E56" i="1"/>
  <c r="A56" i="1"/>
  <c r="B362" i="1"/>
  <c r="C362" i="1"/>
  <c r="G362" i="1"/>
  <c r="H362" i="1"/>
  <c r="I362" i="1"/>
  <c r="E362" i="1"/>
  <c r="A362" i="1"/>
  <c r="B364" i="1"/>
  <c r="C364" i="1"/>
  <c r="G364" i="1"/>
  <c r="H364" i="1"/>
  <c r="I364" i="1"/>
  <c r="E364" i="1"/>
  <c r="A364" i="1"/>
  <c r="B365" i="1"/>
  <c r="C365" i="1"/>
  <c r="G365" i="1"/>
  <c r="H365" i="1"/>
  <c r="I365" i="1"/>
  <c r="E365" i="1"/>
  <c r="A365" i="1"/>
  <c r="B366" i="1"/>
  <c r="C366" i="1"/>
  <c r="G366" i="1"/>
  <c r="H366" i="1"/>
  <c r="I366" i="1"/>
  <c r="E366" i="1"/>
  <c r="A366" i="1"/>
  <c r="B313" i="1"/>
  <c r="C313" i="1"/>
  <c r="G313" i="1"/>
  <c r="H313" i="1"/>
  <c r="I313" i="1"/>
  <c r="E313" i="1"/>
  <c r="A313" i="1"/>
  <c r="B211" i="1"/>
  <c r="C211" i="1"/>
  <c r="G211" i="1"/>
  <c r="H211" i="1"/>
  <c r="I211" i="1"/>
  <c r="E211" i="1"/>
  <c r="A211" i="1"/>
  <c r="B212" i="1"/>
  <c r="C212" i="1"/>
  <c r="G212" i="1"/>
  <c r="H212" i="1"/>
  <c r="I212" i="1"/>
  <c r="E212" i="1"/>
  <c r="A212" i="1"/>
  <c r="B297" i="1"/>
  <c r="C297" i="1"/>
  <c r="G297" i="1"/>
  <c r="H297" i="1"/>
  <c r="I297" i="1"/>
  <c r="E297" i="1"/>
  <c r="A297" i="1"/>
  <c r="B204" i="1"/>
  <c r="C204" i="1"/>
  <c r="G204" i="1"/>
  <c r="H204" i="1"/>
  <c r="I204" i="1"/>
  <c r="E204" i="1"/>
  <c r="A204" i="1"/>
  <c r="B213" i="1"/>
  <c r="C213" i="1"/>
  <c r="G213" i="1"/>
  <c r="H213" i="1"/>
  <c r="I213" i="1"/>
  <c r="E213" i="1"/>
  <c r="A213" i="1"/>
  <c r="B216" i="1"/>
  <c r="C216" i="1"/>
  <c r="G216" i="1"/>
  <c r="H216" i="1"/>
  <c r="I216" i="1"/>
  <c r="E216" i="1"/>
  <c r="A216" i="1"/>
  <c r="B332" i="1"/>
  <c r="C332" i="1"/>
  <c r="G332" i="1"/>
  <c r="H332" i="1"/>
  <c r="I332" i="1"/>
  <c r="E332" i="1"/>
  <c r="A332" i="1"/>
  <c r="B333" i="1"/>
  <c r="C333" i="1"/>
  <c r="G333" i="1"/>
  <c r="H333" i="1"/>
  <c r="I333" i="1"/>
  <c r="E333" i="1"/>
  <c r="A333" i="1"/>
  <c r="B337" i="1"/>
  <c r="C337" i="1"/>
  <c r="G337" i="1"/>
  <c r="H337" i="1"/>
  <c r="I337" i="1"/>
  <c r="E337" i="1"/>
  <c r="A337" i="1"/>
  <c r="B233" i="1"/>
  <c r="C233" i="1"/>
  <c r="G233" i="1"/>
  <c r="H233" i="1"/>
  <c r="I233" i="1"/>
  <c r="E233" i="1"/>
  <c r="A233" i="1"/>
  <c r="B473" i="1"/>
  <c r="C473" i="1"/>
  <c r="G473" i="1"/>
  <c r="H473" i="1"/>
  <c r="I473" i="1"/>
  <c r="E473" i="1"/>
  <c r="A473" i="1"/>
  <c r="B489" i="1"/>
  <c r="C489" i="1"/>
  <c r="G489" i="1"/>
  <c r="H489" i="1"/>
  <c r="I489" i="1"/>
  <c r="E489" i="1"/>
  <c r="A489" i="1"/>
  <c r="B234" i="1"/>
  <c r="C234" i="1"/>
  <c r="G234" i="1"/>
  <c r="H234" i="1"/>
  <c r="I234" i="1"/>
  <c r="E234" i="1"/>
  <c r="A234" i="1"/>
  <c r="B16" i="1"/>
  <c r="C16" i="1"/>
  <c r="G16" i="1"/>
  <c r="H16" i="1"/>
  <c r="I16" i="1"/>
  <c r="E16" i="1"/>
  <c r="A16" i="1"/>
  <c r="B169" i="1"/>
  <c r="C169" i="1"/>
  <c r="G169" i="1"/>
  <c r="H169" i="1"/>
  <c r="I169" i="1"/>
  <c r="E169" i="1"/>
  <c r="A169" i="1"/>
  <c r="B166" i="1"/>
  <c r="C166" i="1"/>
  <c r="G166" i="1"/>
  <c r="H166" i="1"/>
  <c r="I166" i="1"/>
  <c r="E166" i="1"/>
  <c r="A166" i="1"/>
  <c r="B176" i="1"/>
  <c r="C176" i="1"/>
  <c r="G176" i="1"/>
  <c r="H176" i="1"/>
  <c r="I176" i="1"/>
  <c r="E176" i="1"/>
  <c r="A176" i="1"/>
  <c r="B121" i="1"/>
  <c r="C121" i="1"/>
  <c r="G121" i="1"/>
  <c r="H121" i="1"/>
  <c r="I121" i="1"/>
  <c r="E121" i="1"/>
  <c r="A121" i="1"/>
  <c r="B150" i="1"/>
  <c r="C150" i="1"/>
  <c r="G150" i="1"/>
  <c r="H150" i="1"/>
  <c r="I150" i="1"/>
  <c r="E150" i="1"/>
  <c r="A150" i="1"/>
  <c r="B143" i="1"/>
  <c r="C143" i="1"/>
  <c r="G143" i="1"/>
  <c r="H143" i="1"/>
  <c r="I143" i="1"/>
  <c r="E143" i="1"/>
  <c r="A143" i="1"/>
  <c r="B144" i="1"/>
  <c r="C144" i="1"/>
  <c r="G144" i="1"/>
  <c r="H144" i="1"/>
  <c r="I144" i="1"/>
  <c r="E144" i="1"/>
  <c r="A144" i="1"/>
  <c r="B128" i="1"/>
  <c r="C128" i="1"/>
  <c r="G128" i="1"/>
  <c r="H128" i="1"/>
  <c r="I128" i="1"/>
  <c r="E128" i="1"/>
  <c r="A128" i="1"/>
  <c r="B219" i="1"/>
  <c r="C219" i="1"/>
  <c r="G219" i="1"/>
  <c r="H219" i="1"/>
  <c r="I219" i="1"/>
  <c r="E219" i="1"/>
  <c r="A219" i="1"/>
  <c r="B463" i="1"/>
  <c r="C463" i="1"/>
  <c r="G463" i="1"/>
  <c r="H463" i="1"/>
  <c r="I463" i="1"/>
  <c r="E463" i="1"/>
  <c r="A463" i="1"/>
  <c r="B464" i="1"/>
  <c r="C464" i="1"/>
  <c r="G464" i="1"/>
  <c r="H464" i="1"/>
  <c r="I464" i="1"/>
  <c r="E464" i="1"/>
  <c r="A464" i="1"/>
  <c r="B157" i="1"/>
  <c r="C157" i="1"/>
  <c r="G157" i="1"/>
  <c r="H157" i="1"/>
  <c r="I157" i="1"/>
  <c r="E157" i="1"/>
  <c r="A157" i="1"/>
  <c r="B158" i="1"/>
  <c r="C158" i="1"/>
  <c r="G158" i="1"/>
  <c r="H158" i="1"/>
  <c r="I158" i="1"/>
  <c r="E158" i="1"/>
  <c r="A158" i="1"/>
  <c r="B159" i="1"/>
  <c r="C159" i="1"/>
  <c r="G159" i="1"/>
  <c r="H159" i="1"/>
  <c r="I159" i="1"/>
  <c r="E159" i="1"/>
  <c r="A159" i="1"/>
  <c r="B167" i="1"/>
  <c r="C167" i="1"/>
  <c r="G167" i="1"/>
  <c r="H167" i="1"/>
  <c r="I167" i="1"/>
  <c r="E167" i="1"/>
  <c r="A167" i="1"/>
  <c r="B175" i="1"/>
  <c r="C175" i="1"/>
  <c r="G175" i="1"/>
  <c r="H175" i="1"/>
  <c r="I175" i="1"/>
  <c r="E175" i="1"/>
  <c r="A175" i="1"/>
  <c r="B170" i="1"/>
  <c r="C170" i="1"/>
  <c r="G170" i="1"/>
  <c r="H170" i="1"/>
  <c r="I170" i="1"/>
  <c r="E170" i="1"/>
  <c r="A170" i="1"/>
  <c r="B171" i="1"/>
  <c r="C171" i="1"/>
  <c r="G171" i="1"/>
  <c r="H171" i="1"/>
  <c r="I171" i="1"/>
  <c r="E171" i="1"/>
  <c r="A171" i="1"/>
  <c r="B356" i="1"/>
  <c r="C356" i="1"/>
  <c r="G356" i="1"/>
  <c r="H356" i="1"/>
  <c r="I356" i="1"/>
  <c r="E356" i="1"/>
  <c r="A356" i="1"/>
  <c r="B268" i="1"/>
  <c r="C268" i="1"/>
  <c r="G268" i="1"/>
  <c r="H268" i="1"/>
  <c r="I268" i="1"/>
  <c r="E268" i="1"/>
  <c r="A268" i="1"/>
  <c r="B48" i="1"/>
  <c r="C48" i="1"/>
  <c r="G48" i="1"/>
  <c r="H48" i="1"/>
  <c r="I48" i="1"/>
  <c r="E48" i="1"/>
  <c r="A48" i="1"/>
  <c r="B49" i="1"/>
  <c r="C49" i="1"/>
  <c r="G49" i="1"/>
  <c r="H49" i="1"/>
  <c r="I49" i="1"/>
  <c r="E49" i="1"/>
  <c r="A49" i="1"/>
  <c r="B514" i="1"/>
  <c r="C514" i="1"/>
  <c r="G514" i="1"/>
  <c r="H514" i="1"/>
  <c r="I514" i="1"/>
  <c r="E514" i="1"/>
  <c r="A514" i="1"/>
  <c r="B57" i="1"/>
  <c r="C57" i="1"/>
  <c r="G57" i="1"/>
  <c r="H57" i="1"/>
  <c r="I57" i="1"/>
  <c r="E57" i="1"/>
  <c r="A57" i="1"/>
  <c r="B361" i="1"/>
  <c r="C361" i="1"/>
  <c r="G361" i="1"/>
  <c r="H361" i="1"/>
  <c r="I361" i="1"/>
  <c r="E361" i="1"/>
  <c r="A361" i="1"/>
  <c r="B423" i="1"/>
  <c r="C423" i="1"/>
  <c r="G423" i="1"/>
  <c r="H423" i="1"/>
  <c r="I423" i="1"/>
  <c r="E423" i="1"/>
  <c r="A423" i="1"/>
  <c r="B455" i="1"/>
  <c r="C455" i="1"/>
  <c r="G455" i="1"/>
  <c r="H455" i="1"/>
  <c r="I455" i="1"/>
  <c r="E455" i="1"/>
  <c r="A455" i="1"/>
  <c r="B456" i="1"/>
  <c r="C456" i="1"/>
  <c r="G456" i="1"/>
  <c r="H456" i="1"/>
  <c r="I456" i="1"/>
  <c r="E456" i="1"/>
  <c r="A456" i="1"/>
  <c r="B379" i="1"/>
  <c r="C379" i="1"/>
  <c r="G379" i="1"/>
  <c r="H379" i="1"/>
  <c r="I379" i="1"/>
  <c r="E379" i="1"/>
  <c r="A379" i="1"/>
  <c r="B381" i="1"/>
  <c r="C381" i="1"/>
  <c r="G381" i="1"/>
  <c r="H381" i="1"/>
  <c r="I381" i="1"/>
  <c r="E381" i="1"/>
  <c r="A381" i="1"/>
  <c r="B385" i="1"/>
  <c r="C385" i="1"/>
  <c r="G385" i="1"/>
  <c r="H385" i="1"/>
  <c r="I385" i="1"/>
  <c r="E385" i="1"/>
  <c r="A385" i="1"/>
  <c r="B386" i="1"/>
  <c r="C386" i="1"/>
  <c r="G386" i="1"/>
  <c r="H386" i="1"/>
  <c r="I386" i="1"/>
  <c r="E386" i="1"/>
  <c r="A386" i="1"/>
  <c r="B444" i="1"/>
  <c r="C444" i="1"/>
  <c r="G444" i="1"/>
  <c r="H444" i="1"/>
  <c r="I444" i="1"/>
  <c r="E444" i="1"/>
  <c r="A444" i="1"/>
  <c r="B402" i="1"/>
  <c r="C402" i="1"/>
  <c r="G402" i="1"/>
  <c r="H402" i="1"/>
  <c r="I402" i="1"/>
  <c r="E402" i="1"/>
  <c r="A402" i="1"/>
  <c r="B446" i="1"/>
  <c r="C446" i="1"/>
  <c r="G446" i="1"/>
  <c r="H446" i="1"/>
  <c r="I446" i="1"/>
  <c r="E446" i="1"/>
  <c r="A446" i="1"/>
  <c r="B203" i="1"/>
  <c r="C203" i="1"/>
  <c r="G203" i="1"/>
  <c r="H203" i="1"/>
  <c r="I203" i="1"/>
  <c r="E203" i="1"/>
  <c r="A203" i="1"/>
  <c r="B220" i="1"/>
  <c r="C220" i="1"/>
  <c r="G220" i="1"/>
  <c r="H220" i="1"/>
  <c r="I220" i="1"/>
  <c r="E220" i="1"/>
  <c r="A220" i="1"/>
  <c r="B329" i="1"/>
  <c r="C329" i="1"/>
  <c r="G329" i="1"/>
  <c r="H329" i="1"/>
  <c r="I329" i="1"/>
  <c r="E329" i="1"/>
  <c r="A329" i="1"/>
  <c r="B338" i="1"/>
  <c r="C338" i="1"/>
  <c r="G338" i="1"/>
  <c r="H338" i="1"/>
  <c r="I338" i="1"/>
  <c r="E338" i="1"/>
  <c r="A338" i="1"/>
  <c r="B334" i="1"/>
  <c r="C334" i="1"/>
  <c r="G334" i="1"/>
  <c r="H334" i="1"/>
  <c r="I334" i="1"/>
  <c r="E334" i="1"/>
  <c r="A334" i="1"/>
  <c r="B151" i="1"/>
  <c r="C151" i="1"/>
  <c r="G151" i="1"/>
  <c r="H151" i="1"/>
  <c r="I151" i="1"/>
  <c r="E151" i="1"/>
  <c r="A151" i="1"/>
  <c r="B228" i="1"/>
  <c r="C228" i="1"/>
  <c r="G228" i="1"/>
  <c r="H228" i="1"/>
  <c r="I228" i="1"/>
  <c r="E228" i="1"/>
  <c r="A228" i="1"/>
  <c r="B214" i="1"/>
  <c r="C214" i="1"/>
  <c r="G214" i="1"/>
  <c r="H214" i="1"/>
  <c r="I214" i="1"/>
  <c r="E214" i="1"/>
  <c r="A214" i="1"/>
  <c r="B474" i="1"/>
  <c r="C474" i="1"/>
  <c r="G474" i="1"/>
  <c r="H474" i="1"/>
  <c r="I474" i="1"/>
  <c r="E474" i="1"/>
  <c r="A474" i="1"/>
  <c r="B11" i="1"/>
  <c r="C11" i="1"/>
  <c r="G11" i="1"/>
  <c r="H11" i="1"/>
  <c r="I11" i="1"/>
  <c r="E11" i="1"/>
  <c r="A11" i="1"/>
  <c r="B460" i="1"/>
  <c r="C460" i="1"/>
  <c r="G460" i="1"/>
  <c r="H460" i="1"/>
  <c r="I460" i="1"/>
  <c r="E460" i="1"/>
  <c r="A460" i="1"/>
  <c r="B472" i="1"/>
  <c r="C472" i="1"/>
  <c r="G472" i="1"/>
  <c r="H472" i="1"/>
  <c r="I472" i="1"/>
  <c r="E472" i="1"/>
  <c r="A472" i="1"/>
  <c r="B3" i="1"/>
  <c r="C3" i="1"/>
  <c r="G3" i="1"/>
  <c r="H3" i="1"/>
  <c r="I3" i="1"/>
  <c r="E3" i="1"/>
  <c r="A3" i="1"/>
  <c r="B32" i="1"/>
  <c r="C32" i="1"/>
  <c r="G32" i="1"/>
  <c r="H32" i="1"/>
  <c r="I32" i="1"/>
  <c r="E32" i="1"/>
  <c r="A32" i="1"/>
  <c r="B222" i="1"/>
  <c r="C222" i="1"/>
  <c r="G222" i="1"/>
  <c r="H222" i="1"/>
  <c r="I222" i="1"/>
  <c r="E222" i="1"/>
  <c r="A222" i="1"/>
  <c r="B447" i="1"/>
  <c r="C447" i="1"/>
  <c r="G447" i="1"/>
  <c r="H447" i="1"/>
  <c r="I447" i="1"/>
  <c r="E447" i="1"/>
  <c r="A447" i="1"/>
  <c r="B493" i="1"/>
  <c r="C493" i="1"/>
  <c r="G493" i="1"/>
  <c r="H493" i="1"/>
  <c r="I493" i="1"/>
  <c r="E493" i="1"/>
  <c r="A493" i="1"/>
  <c r="B471" i="1"/>
  <c r="C471" i="1"/>
  <c r="G471" i="1"/>
  <c r="H471" i="1"/>
  <c r="I471" i="1"/>
  <c r="E471" i="1"/>
  <c r="A471" i="1"/>
  <c r="B509" i="1"/>
  <c r="C509" i="1"/>
  <c r="G509" i="1"/>
  <c r="H509" i="1"/>
  <c r="I509" i="1"/>
  <c r="E509" i="1"/>
  <c r="A509" i="1"/>
  <c r="B516" i="1"/>
  <c r="C516" i="1"/>
  <c r="G516" i="1"/>
  <c r="H516" i="1"/>
  <c r="I516" i="1"/>
  <c r="E516" i="1"/>
  <c r="A516" i="1"/>
  <c r="B6" i="1"/>
  <c r="C6" i="1"/>
  <c r="G6" i="1"/>
  <c r="H6" i="1"/>
  <c r="I6" i="1"/>
  <c r="E6" i="1"/>
  <c r="A6" i="1"/>
  <c r="B510" i="1"/>
  <c r="C510" i="1"/>
  <c r="G510" i="1"/>
  <c r="H510" i="1"/>
  <c r="I510" i="1"/>
  <c r="E510" i="1"/>
  <c r="A510" i="1"/>
  <c r="B511" i="1"/>
  <c r="C511" i="1"/>
  <c r="G511" i="1"/>
  <c r="H511" i="1"/>
  <c r="I511" i="1"/>
  <c r="E511" i="1"/>
  <c r="A511" i="1"/>
  <c r="B358" i="1"/>
  <c r="C358" i="1"/>
  <c r="G358" i="1"/>
  <c r="H358" i="1"/>
  <c r="I358" i="1"/>
  <c r="E358" i="1"/>
  <c r="A358" i="1"/>
  <c r="B367" i="1"/>
  <c r="C367" i="1"/>
  <c r="G367" i="1"/>
  <c r="H367" i="1"/>
  <c r="I367" i="1"/>
  <c r="E367" i="1"/>
  <c r="A367" i="1"/>
  <c r="B490" i="1"/>
  <c r="C490" i="1"/>
  <c r="G490" i="1"/>
  <c r="H490" i="1"/>
  <c r="I490" i="1"/>
  <c r="E490" i="1"/>
  <c r="A490" i="1"/>
  <c r="B359" i="1"/>
  <c r="C359" i="1"/>
  <c r="G359" i="1"/>
  <c r="H359" i="1"/>
  <c r="I359" i="1"/>
  <c r="E359" i="1"/>
  <c r="A359" i="1"/>
  <c r="B58" i="1"/>
  <c r="C58" i="1"/>
  <c r="G58" i="1"/>
  <c r="H58" i="1"/>
  <c r="I58" i="1"/>
  <c r="E58" i="1"/>
  <c r="A58" i="1"/>
  <c r="B59" i="1"/>
  <c r="C59" i="1"/>
  <c r="G59" i="1"/>
  <c r="H59" i="1"/>
  <c r="I59" i="1"/>
  <c r="E59" i="1"/>
  <c r="A59" i="1"/>
  <c r="B60" i="1"/>
  <c r="C60" i="1"/>
  <c r="G60" i="1"/>
  <c r="H60" i="1"/>
  <c r="I60" i="1"/>
  <c r="E60" i="1"/>
  <c r="A60" i="1"/>
  <c r="B61" i="1"/>
  <c r="C61" i="1"/>
  <c r="G61" i="1"/>
  <c r="H61" i="1"/>
  <c r="I61" i="1"/>
  <c r="E61" i="1"/>
  <c r="A61" i="1"/>
  <c r="B312" i="1"/>
  <c r="C312" i="1"/>
  <c r="G312" i="1"/>
  <c r="H312" i="1"/>
  <c r="I312" i="1"/>
  <c r="E312" i="1"/>
  <c r="A312" i="1"/>
  <c r="B172" i="1"/>
  <c r="C172" i="1"/>
  <c r="G172" i="1"/>
  <c r="H172" i="1"/>
  <c r="I172" i="1"/>
  <c r="E172" i="1"/>
  <c r="A172" i="1"/>
  <c r="B152" i="1"/>
  <c r="C152" i="1"/>
  <c r="G152" i="1"/>
  <c r="H152" i="1"/>
  <c r="I152" i="1"/>
  <c r="E152" i="1"/>
  <c r="A152" i="1"/>
  <c r="B153" i="1"/>
  <c r="C153" i="1"/>
  <c r="G153" i="1"/>
  <c r="H153" i="1"/>
  <c r="I153" i="1"/>
  <c r="E153" i="1"/>
  <c r="A153" i="1"/>
  <c r="B135" i="1"/>
  <c r="C135" i="1"/>
  <c r="G135" i="1"/>
  <c r="H135" i="1"/>
  <c r="I135" i="1"/>
  <c r="E135" i="1"/>
  <c r="A135" i="1"/>
  <c r="B517" i="1"/>
  <c r="C517" i="1"/>
  <c r="G517" i="1"/>
  <c r="H517" i="1"/>
  <c r="I517" i="1"/>
  <c r="E517" i="1"/>
  <c r="A517" i="1"/>
  <c r="B53" i="1"/>
  <c r="C53" i="1"/>
  <c r="G53" i="1"/>
  <c r="H53" i="1"/>
  <c r="I53" i="1"/>
  <c r="E53" i="1"/>
  <c r="A53" i="1"/>
  <c r="B354" i="1"/>
  <c r="C354" i="1"/>
  <c r="G354" i="1"/>
  <c r="H354" i="1"/>
  <c r="I354" i="1"/>
  <c r="E354" i="1"/>
  <c r="A354" i="1"/>
  <c r="B273" i="1"/>
  <c r="C273" i="1"/>
  <c r="G273" i="1"/>
  <c r="H273" i="1"/>
  <c r="I273" i="1"/>
  <c r="E273" i="1"/>
  <c r="A273" i="1"/>
  <c r="B470" i="1"/>
  <c r="C470" i="1"/>
  <c r="G470" i="1"/>
  <c r="H470" i="1"/>
  <c r="I470" i="1"/>
  <c r="E470" i="1"/>
  <c r="A470" i="1"/>
  <c r="B173" i="1"/>
  <c r="C173" i="1"/>
  <c r="G173" i="1"/>
  <c r="H173" i="1"/>
  <c r="I173" i="1"/>
  <c r="E173" i="1"/>
  <c r="A173" i="1"/>
  <c r="B239" i="1"/>
  <c r="C239" i="1"/>
  <c r="G239" i="1"/>
  <c r="H239" i="1"/>
  <c r="I239" i="1"/>
  <c r="E239" i="1"/>
  <c r="A239" i="1"/>
  <c r="B237" i="1"/>
  <c r="C237" i="1"/>
  <c r="G237" i="1"/>
  <c r="H237" i="1"/>
  <c r="I237" i="1"/>
  <c r="E237" i="1"/>
  <c r="A237" i="1"/>
  <c r="B238" i="1"/>
  <c r="C238" i="1"/>
  <c r="G238" i="1"/>
  <c r="H238" i="1"/>
  <c r="I238" i="1"/>
  <c r="E238" i="1"/>
  <c r="A238" i="1"/>
  <c r="B232" i="1"/>
  <c r="C232" i="1"/>
  <c r="G232" i="1"/>
  <c r="H232" i="1"/>
  <c r="I232" i="1"/>
  <c r="E232" i="1"/>
  <c r="A232" i="1"/>
  <c r="B223" i="1"/>
  <c r="C223" i="1"/>
  <c r="G223" i="1"/>
  <c r="H223" i="1"/>
  <c r="I223" i="1"/>
  <c r="E223" i="1"/>
  <c r="A223" i="1"/>
  <c r="B224" i="1"/>
  <c r="C224" i="1"/>
  <c r="G224" i="1"/>
  <c r="H224" i="1"/>
  <c r="I224" i="1"/>
  <c r="E224" i="1"/>
  <c r="A224" i="1"/>
  <c r="B335" i="1"/>
  <c r="C335" i="1"/>
  <c r="G335" i="1"/>
  <c r="H335" i="1"/>
  <c r="I335" i="1"/>
  <c r="E335" i="1"/>
  <c r="A335" i="1"/>
  <c r="B340" i="1"/>
  <c r="C340" i="1"/>
  <c r="G340" i="1"/>
  <c r="H340" i="1"/>
  <c r="I340" i="1"/>
  <c r="E340" i="1"/>
  <c r="A340" i="1"/>
  <c r="B240" i="1"/>
  <c r="C240" i="1"/>
  <c r="G240" i="1"/>
  <c r="H240" i="1"/>
  <c r="I240" i="1"/>
  <c r="E240" i="1"/>
  <c r="A240" i="1"/>
  <c r="B241" i="1"/>
  <c r="C241" i="1"/>
  <c r="G241" i="1"/>
  <c r="H241" i="1"/>
  <c r="I241" i="1"/>
  <c r="E241" i="1"/>
  <c r="A241" i="1"/>
  <c r="B236" i="1"/>
  <c r="C236" i="1"/>
  <c r="G236" i="1"/>
  <c r="H236" i="1"/>
  <c r="I236" i="1"/>
  <c r="E236" i="1"/>
  <c r="A236" i="1"/>
  <c r="B205" i="1"/>
  <c r="C205" i="1"/>
  <c r="G205" i="1"/>
  <c r="H205" i="1"/>
  <c r="I205" i="1"/>
  <c r="E205" i="1"/>
  <c r="A205" i="1"/>
  <c r="B336" i="1"/>
  <c r="C336" i="1"/>
  <c r="G336" i="1"/>
  <c r="H336" i="1"/>
  <c r="I336" i="1"/>
  <c r="E336" i="1"/>
  <c r="A336" i="1"/>
  <c r="B229" i="1"/>
  <c r="C229" i="1"/>
  <c r="G229" i="1"/>
  <c r="H229" i="1"/>
  <c r="I229" i="1"/>
  <c r="E229" i="1"/>
  <c r="A229" i="1"/>
  <c r="B33" i="1"/>
  <c r="C33" i="1"/>
  <c r="G33" i="1"/>
  <c r="H33" i="1"/>
  <c r="I33" i="1"/>
  <c r="E33" i="1"/>
  <c r="A33" i="1"/>
  <c r="B26" i="1"/>
  <c r="C26" i="1"/>
  <c r="G26" i="1"/>
  <c r="H26" i="1"/>
  <c r="I26" i="1"/>
  <c r="E26" i="1"/>
  <c r="A26" i="1"/>
  <c r="B13" i="1"/>
  <c r="C13" i="1"/>
  <c r="G13" i="1"/>
  <c r="H13" i="1"/>
  <c r="I13" i="1"/>
  <c r="E13" i="1"/>
  <c r="A13" i="1"/>
  <c r="B37" i="1"/>
  <c r="C37" i="1"/>
  <c r="G37" i="1"/>
  <c r="H37" i="1"/>
  <c r="I37" i="1"/>
  <c r="E37" i="1"/>
  <c r="A37" i="1"/>
  <c r="B14" i="1"/>
  <c r="C14" i="1"/>
  <c r="G14" i="1"/>
  <c r="H14" i="1"/>
  <c r="I14" i="1"/>
  <c r="E14" i="1"/>
  <c r="A14" i="1"/>
  <c r="B8" i="1"/>
  <c r="C8" i="1"/>
  <c r="G8" i="1"/>
  <c r="H8" i="1"/>
  <c r="I8" i="1"/>
  <c r="E8" i="1"/>
  <c r="A8" i="1"/>
  <c r="B18" i="1"/>
  <c r="C18" i="1"/>
  <c r="G18" i="1"/>
  <c r="H18" i="1"/>
  <c r="I18" i="1"/>
  <c r="E18" i="1"/>
  <c r="A18" i="1"/>
  <c r="B34" i="1"/>
  <c r="C34" i="1"/>
  <c r="G34" i="1"/>
  <c r="H34" i="1"/>
  <c r="I34" i="1"/>
  <c r="E34" i="1"/>
  <c r="A34" i="1"/>
  <c r="B40" i="1"/>
  <c r="C40" i="1"/>
  <c r="G40" i="1"/>
  <c r="H40" i="1"/>
  <c r="I40" i="1"/>
  <c r="E40" i="1"/>
  <c r="A40" i="1"/>
  <c r="B4" i="1"/>
  <c r="C4" i="1"/>
  <c r="G4" i="1"/>
  <c r="H4" i="1"/>
  <c r="I4" i="1"/>
  <c r="E4" i="1"/>
  <c r="A4" i="1"/>
  <c r="B27" i="1"/>
  <c r="C27" i="1"/>
  <c r="G27" i="1"/>
  <c r="H27" i="1"/>
  <c r="I27" i="1"/>
  <c r="E27" i="1"/>
  <c r="A27" i="1"/>
  <c r="B183" i="1"/>
  <c r="C183" i="1"/>
  <c r="G183" i="1"/>
  <c r="H183" i="1"/>
  <c r="I183" i="1"/>
  <c r="E183" i="1"/>
  <c r="A183" i="1"/>
  <c r="B184" i="1"/>
  <c r="C184" i="1"/>
  <c r="G184" i="1"/>
  <c r="H184" i="1"/>
  <c r="I184" i="1"/>
  <c r="E184" i="1"/>
  <c r="A184" i="1"/>
  <c r="B178" i="1"/>
  <c r="C178" i="1"/>
  <c r="G178" i="1"/>
  <c r="H178" i="1"/>
  <c r="I178" i="1"/>
  <c r="E178" i="1"/>
  <c r="A178" i="1"/>
  <c r="B12" i="1"/>
  <c r="C12" i="1"/>
  <c r="G12" i="1"/>
  <c r="H12" i="1"/>
  <c r="I12" i="1"/>
  <c r="E12" i="1"/>
  <c r="A12" i="1"/>
  <c r="B496" i="1"/>
  <c r="C496" i="1"/>
  <c r="G496" i="1"/>
  <c r="H496" i="1"/>
  <c r="I496" i="1"/>
  <c r="E496" i="1"/>
  <c r="A496" i="1"/>
  <c r="B30" i="1"/>
  <c r="C30" i="1"/>
  <c r="G30" i="1"/>
  <c r="H30" i="1"/>
  <c r="I30" i="1"/>
  <c r="E30" i="1"/>
  <c r="A30" i="1"/>
  <c r="B5" i="1"/>
  <c r="C5" i="1"/>
  <c r="G5" i="1"/>
  <c r="H5" i="1"/>
  <c r="I5" i="1"/>
  <c r="E5" i="1"/>
  <c r="A5" i="1"/>
  <c r="B287" i="1"/>
  <c r="C287" i="1"/>
  <c r="G287" i="1"/>
  <c r="H287" i="1"/>
  <c r="I287" i="1"/>
  <c r="E287" i="1"/>
  <c r="A287" i="1"/>
  <c r="B38" i="1"/>
  <c r="C38" i="1"/>
  <c r="G38" i="1"/>
  <c r="H38" i="1"/>
  <c r="I38" i="1"/>
  <c r="E38" i="1"/>
  <c r="A38" i="1"/>
  <c r="B15" i="1"/>
  <c r="C15" i="1"/>
  <c r="G15" i="1"/>
  <c r="H15" i="1"/>
  <c r="I15" i="1"/>
  <c r="E15" i="1"/>
  <c r="A15" i="1"/>
  <c r="B35" i="1"/>
  <c r="C35" i="1"/>
  <c r="G35" i="1"/>
  <c r="H35" i="1"/>
  <c r="I35" i="1"/>
  <c r="E35" i="1"/>
  <c r="A35" i="1"/>
  <c r="B36" i="1"/>
  <c r="C36" i="1"/>
  <c r="G36" i="1"/>
  <c r="H36" i="1"/>
  <c r="I36" i="1"/>
  <c r="E36" i="1"/>
  <c r="A36" i="1"/>
  <c r="B269" i="1"/>
  <c r="C269" i="1"/>
  <c r="G269" i="1"/>
  <c r="H269" i="1"/>
  <c r="I269" i="1"/>
  <c r="E269" i="1"/>
  <c r="A269" i="1"/>
  <c r="B274" i="1"/>
  <c r="C274" i="1"/>
  <c r="G274" i="1"/>
  <c r="H274" i="1"/>
  <c r="I274" i="1"/>
  <c r="E274" i="1"/>
  <c r="A274" i="1"/>
  <c r="B17" i="1"/>
  <c r="C17" i="1"/>
  <c r="G17" i="1"/>
  <c r="H17" i="1"/>
  <c r="I17" i="1"/>
  <c r="E17" i="1"/>
  <c r="A17" i="1"/>
  <c r="B21" i="1"/>
  <c r="C21" i="1"/>
  <c r="G21" i="1"/>
  <c r="H21" i="1"/>
  <c r="I21" i="1"/>
  <c r="E21" i="1"/>
  <c r="A21" i="1"/>
  <c r="B271" i="1"/>
  <c r="C271" i="1"/>
  <c r="G271" i="1"/>
  <c r="H271" i="1"/>
  <c r="I271" i="1"/>
  <c r="E271" i="1"/>
  <c r="A271" i="1"/>
  <c r="B342" i="1"/>
  <c r="C342" i="1"/>
  <c r="G342" i="1"/>
  <c r="H342" i="1"/>
  <c r="I342" i="1"/>
  <c r="E342" i="1"/>
  <c r="A342" i="1"/>
  <c r="B270" i="1"/>
  <c r="C270" i="1"/>
  <c r="G270" i="1"/>
  <c r="H270" i="1"/>
  <c r="I270" i="1"/>
  <c r="E270" i="1"/>
  <c r="A270" i="1"/>
  <c r="B303" i="1"/>
  <c r="C303" i="1"/>
  <c r="G303" i="1"/>
  <c r="H303" i="1"/>
  <c r="I303" i="1"/>
  <c r="E303" i="1"/>
  <c r="A303" i="1"/>
  <c r="B352" i="1"/>
  <c r="C352" i="1"/>
  <c r="G352" i="1"/>
  <c r="H352" i="1"/>
  <c r="I352" i="1"/>
  <c r="E352" i="1"/>
  <c r="A352" i="1"/>
  <c r="B304" i="1"/>
  <c r="C304" i="1"/>
  <c r="G304" i="1"/>
  <c r="H304" i="1"/>
  <c r="I304" i="1"/>
  <c r="E304" i="1"/>
  <c r="A304" i="1"/>
  <c r="B301" i="1"/>
  <c r="C301" i="1"/>
  <c r="G301" i="1"/>
  <c r="H301" i="1"/>
  <c r="I301" i="1"/>
  <c r="E301" i="1"/>
  <c r="A301" i="1"/>
  <c r="B295" i="1"/>
  <c r="C295" i="1"/>
  <c r="G295" i="1"/>
  <c r="H295" i="1"/>
  <c r="I295" i="1"/>
  <c r="E295" i="1"/>
  <c r="A295" i="1"/>
  <c r="B314" i="1"/>
  <c r="C314" i="1"/>
  <c r="G314" i="1"/>
  <c r="H314" i="1"/>
  <c r="I314" i="1"/>
  <c r="E314" i="1"/>
  <c r="A314" i="1"/>
  <c r="B316" i="1"/>
  <c r="C316" i="1"/>
  <c r="G316" i="1"/>
  <c r="H316" i="1"/>
  <c r="I316" i="1"/>
  <c r="E316" i="1"/>
  <c r="A316" i="1"/>
  <c r="B317" i="1"/>
  <c r="C317" i="1"/>
  <c r="G317" i="1"/>
  <c r="H317" i="1"/>
  <c r="I317" i="1"/>
  <c r="E317" i="1"/>
  <c r="A317" i="1"/>
  <c r="B308" i="1"/>
  <c r="C308" i="1"/>
  <c r="G308" i="1"/>
  <c r="H308" i="1"/>
  <c r="I308" i="1"/>
  <c r="E308" i="1"/>
  <c r="A308" i="1"/>
  <c r="B309" i="1"/>
  <c r="C309" i="1"/>
  <c r="G309" i="1"/>
  <c r="H309" i="1"/>
  <c r="I309" i="1"/>
  <c r="E309" i="1"/>
  <c r="A309" i="1"/>
  <c r="B355" i="1"/>
  <c r="C355" i="1"/>
  <c r="G355" i="1"/>
  <c r="H355" i="1"/>
  <c r="I355" i="1"/>
  <c r="E355" i="1"/>
  <c r="A355" i="1"/>
  <c r="B290" i="1"/>
  <c r="C290" i="1"/>
  <c r="G290" i="1"/>
  <c r="H290" i="1"/>
  <c r="I290" i="1"/>
  <c r="E290" i="1"/>
  <c r="A290" i="1"/>
  <c r="B289" i="1"/>
  <c r="C289" i="1"/>
  <c r="G289" i="1"/>
  <c r="H289" i="1"/>
  <c r="I289" i="1"/>
  <c r="E289" i="1"/>
  <c r="A289" i="1"/>
  <c r="B292" i="1"/>
  <c r="C292" i="1"/>
  <c r="G292" i="1"/>
  <c r="H292" i="1"/>
  <c r="I292" i="1"/>
  <c r="E292" i="1"/>
  <c r="A292" i="1"/>
  <c r="B350" i="1"/>
  <c r="C350" i="1"/>
  <c r="G350" i="1"/>
  <c r="H350" i="1"/>
  <c r="I350" i="1"/>
  <c r="E350" i="1"/>
  <c r="A350" i="1"/>
  <c r="B351" i="1"/>
  <c r="C351" i="1"/>
  <c r="G351" i="1"/>
  <c r="H351" i="1"/>
  <c r="I351" i="1"/>
  <c r="E351" i="1"/>
  <c r="A351" i="1"/>
</calcChain>
</file>

<file path=xl/sharedStrings.xml><?xml version="1.0" encoding="utf-8"?>
<sst xmlns="http://schemas.openxmlformats.org/spreadsheetml/2006/main" count="10" uniqueCount="10">
  <si>
    <t>COUNTY</t>
  </si>
  <si>
    <t>DESIGN PROJECT ID</t>
  </si>
  <si>
    <t>CONSTRUCTION PROJECT ID</t>
  </si>
  <si>
    <t>LET DATE</t>
  </si>
  <si>
    <t>TITLE</t>
  </si>
  <si>
    <t>LIMITS</t>
  </si>
  <si>
    <t>TYPE OF WORK</t>
  </si>
  <si>
    <t>HWY</t>
  </si>
  <si>
    <t>LENGTH (MILES)</t>
  </si>
  <si>
    <t>STATE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</si>
</sst>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9"/>
  <sheetViews>
    <sheetView tabSelected="1" workbookViewId="0">
      <selection sqref="A1:J519"/>
    </sheetView>
  </sheetViews>
  <sheetFormatPr defaultRowHeight="15" x14ac:dyDescent="0.25"/>
  <cols>
    <col min="1" max="1" width="11.28515625" bestFit="1" customWidth="1"/>
    <col min="2" max="2" width="13.140625" style="5" bestFit="1" customWidth="1"/>
    <col min="3" max="3" width="16.28515625" style="5" bestFit="1" customWidth="1"/>
    <col min="4" max="5" width="9.140625" style="5"/>
    <col min="6" max="6" width="16.42578125" style="5" customWidth="1"/>
    <col min="7" max="7" width="38.42578125" bestFit="1" customWidth="1"/>
    <col min="8" max="8" width="40.7109375" bestFit="1" customWidth="1"/>
    <col min="9" max="9" width="41.85546875" bestFit="1" customWidth="1"/>
  </cols>
  <sheetData>
    <row r="1" spans="1:10" ht="45" customHeight="1" x14ac:dyDescent="0.25">
      <c r="A1" s="1" t="s">
        <v>0</v>
      </c>
      <c r="B1" s="2" t="s">
        <v>1</v>
      </c>
      <c r="C1" s="2" t="s">
        <v>2</v>
      </c>
      <c r="D1" s="2" t="s">
        <v>9</v>
      </c>
      <c r="E1" s="1" t="s">
        <v>7</v>
      </c>
      <c r="F1" s="1" t="s">
        <v>3</v>
      </c>
      <c r="G1" s="1" t="s">
        <v>4</v>
      </c>
      <c r="H1" s="1" t="s">
        <v>5</v>
      </c>
      <c r="I1" s="1" t="s">
        <v>6</v>
      </c>
      <c r="J1" s="2" t="s">
        <v>8</v>
      </c>
    </row>
    <row r="2" spans="1:10" x14ac:dyDescent="0.25">
      <c r="A2" s="3" t="str">
        <f>CLEAN("COLUMBIA")</f>
        <v>COLUMBIA</v>
      </c>
      <c r="B2" s="6" t="str">
        <f>CLEAN("1111-03-02")</f>
        <v>1111-03-02</v>
      </c>
      <c r="C2" s="6" t="str">
        <f>CLEAN("1111-03-72")</f>
        <v>1111-03-72</v>
      </c>
      <c r="D2" s="6">
        <v>2019</v>
      </c>
      <c r="E2" s="6" t="str">
        <f>CLEAN("USH-151")</f>
        <v>USH-151</v>
      </c>
      <c r="F2" s="4">
        <v>43417</v>
      </c>
      <c r="G2" s="3" t="str">
        <f>CLEAN("SUN PRAIRIE - BEAVER DAM")</f>
        <v>SUN PRAIRIE - BEAVER DAM</v>
      </c>
      <c r="H2" s="3" t="str">
        <f>CLEAN("CTH VV TO STH 73")</f>
        <v>CTH VV TO STH 73</v>
      </c>
      <c r="I2" s="3" t="str">
        <f>CLEAN("CONST/RESURFACE BOTH RDWYS")</f>
        <v>CONST/RESURFACE BOTH RDWYS</v>
      </c>
      <c r="J2" s="3">
        <v>13.611000000000001</v>
      </c>
    </row>
    <row r="3" spans="1:10" x14ac:dyDescent="0.25">
      <c r="A3" s="3" t="str">
        <f>CLEAN("COLUMBIA")</f>
        <v>COLUMBIA</v>
      </c>
      <c r="B3" s="6" t="str">
        <f>CLEAN("5640-01-32")</f>
        <v>5640-01-32</v>
      </c>
      <c r="C3" s="6" t="str">
        <f>CLEAN("5640-01-62")</f>
        <v>5640-01-62</v>
      </c>
      <c r="D3" s="6">
        <v>2020</v>
      </c>
      <c r="E3" s="6" t="str">
        <f>CLEAN("STH-113")</f>
        <v>STH-113</v>
      </c>
      <c r="F3" s="4">
        <v>43690</v>
      </c>
      <c r="G3" s="3" t="str">
        <f>CLEAN("WISCONSIN RIVER CROSSING")</f>
        <v>WISCONSIN RIVER CROSSING</v>
      </c>
      <c r="H3" s="3" t="str">
        <f>CLEAN("FERRY VESSEL")</f>
        <v>FERRY VESSEL</v>
      </c>
      <c r="I3" s="3" t="str">
        <f>CLEAN("CONST/FERRY PAINTING")</f>
        <v>CONST/FERRY PAINTING</v>
      </c>
      <c r="J3" s="3">
        <v>0</v>
      </c>
    </row>
    <row r="4" spans="1:10" x14ac:dyDescent="0.25">
      <c r="A4" s="3" t="str">
        <f>CLEAN("COLUMBIA")</f>
        <v>COLUMBIA</v>
      </c>
      <c r="B4" s="6" t="str">
        <f>CLEAN("6050-00-01")</f>
        <v>6050-00-01</v>
      </c>
      <c r="C4" s="6" t="str">
        <f>CLEAN("6050-00-71")</f>
        <v>6050-00-71</v>
      </c>
      <c r="D4" s="6">
        <v>2020</v>
      </c>
      <c r="E4" s="6" t="str">
        <f>CLEAN("STH-022")</f>
        <v>STH-022</v>
      </c>
      <c r="F4" s="4">
        <v>43809</v>
      </c>
      <c r="G4" s="3" t="str">
        <f>CLEAN("WYOCENA - MONTELLO")</f>
        <v>WYOCENA - MONTELLO</v>
      </c>
      <c r="H4" s="3" t="str">
        <f>CLEAN("STH 16 TO NCL/B-11-0171")</f>
        <v>STH 16 TO NCL/B-11-0171</v>
      </c>
      <c r="I4" s="3" t="str">
        <f>CLEAN("CONST/MILL &amp; OVERLAY/STRUCTURES")</f>
        <v>CONST/MILL &amp; OVERLAY/STRUCTURES</v>
      </c>
      <c r="J4" s="3">
        <v>10.933</v>
      </c>
    </row>
    <row r="5" spans="1:10" x14ac:dyDescent="0.25">
      <c r="A5" s="3" t="str">
        <f>CLEAN("COLUMBIA")</f>
        <v>COLUMBIA</v>
      </c>
      <c r="B5" s="6" t="str">
        <f>CLEAN("6130-04-30")</f>
        <v>6130-04-30</v>
      </c>
      <c r="C5" s="6" t="str">
        <f>CLEAN("6130-04-60")</f>
        <v>6130-04-60</v>
      </c>
      <c r="D5" s="6">
        <v>2020</v>
      </c>
      <c r="E5" s="6" t="str">
        <f>CLEAN("STH-016")</f>
        <v>STH-016</v>
      </c>
      <c r="F5" s="4">
        <v>43844</v>
      </c>
      <c r="G5" s="3" t="str">
        <f>CLEAN("WISCONSIN DELLS - PORTAGE")</f>
        <v>WISCONSIN DELLS - PORTAGE</v>
      </c>
      <c r="H5" s="3" t="str">
        <f>CLEAN("STH 13 TO BOECK ROAD")</f>
        <v>STH 13 TO BOECK ROAD</v>
      </c>
      <c r="I5" s="3" t="str">
        <f>CLEAN("CONST/ MILL AND OVERLAY")</f>
        <v>CONST/ MILL AND OVERLAY</v>
      </c>
      <c r="J5" s="3">
        <v>13.832000000000001</v>
      </c>
    </row>
    <row r="6" spans="1:10" x14ac:dyDescent="0.25">
      <c r="A6" s="3" t="str">
        <f>CLEAN("COLUMBIA")</f>
        <v>COLUMBIA</v>
      </c>
      <c r="B6" s="6" t="str">
        <f>CLEAN("5726-07-80")</f>
        <v>5726-07-80</v>
      </c>
      <c r="C6" s="6" t="str">
        <f>CLEAN("5726-07-80")</f>
        <v>5726-07-80</v>
      </c>
      <c r="D6" s="6">
        <v>2020</v>
      </c>
      <c r="E6" s="6" t="str">
        <f>CLEAN("STH-188")</f>
        <v>STH-188</v>
      </c>
      <c r="F6" s="4">
        <v>43855</v>
      </c>
      <c r="G6" s="3" t="str">
        <f>CLEAN("SAUK CITY - MERRIMAC")</f>
        <v>SAUK CITY - MERRIMAC</v>
      </c>
      <c r="H6" s="3" t="str">
        <f>CLEAN("PLEASANT VIEW PARK RD TO BADGER RUN")</f>
        <v>PLEASANT VIEW PARK RD TO BADGER RUN</v>
      </c>
      <c r="I6" s="3" t="str">
        <f>CLEAN("LFA/ DITCHING &amp; REPLACE CULVERT")</f>
        <v>LFA/ DITCHING &amp; REPLACE CULVERT</v>
      </c>
      <c r="J6" s="3">
        <v>0.45500000000000002</v>
      </c>
    </row>
    <row r="7" spans="1:10" x14ac:dyDescent="0.25">
      <c r="A7" s="3" t="str">
        <f>CLEAN("COLUMBIA")</f>
        <v>COLUMBIA</v>
      </c>
      <c r="B7" s="6" t="str">
        <f>CLEAN("1111-05-31")</f>
        <v>1111-05-31</v>
      </c>
      <c r="C7" s="6" t="str">
        <f>CLEAN("1111-05-61")</f>
        <v>1111-05-61</v>
      </c>
      <c r="D7" s="6">
        <v>2020</v>
      </c>
      <c r="E7" s="6" t="str">
        <f>CLEAN("USH-151")</f>
        <v>USH-151</v>
      </c>
      <c r="F7" s="4">
        <v>43900</v>
      </c>
      <c r="G7" s="3" t="str">
        <f>CLEAN("SUN PRAIRIE - BEAVER DAM")</f>
        <v>SUN PRAIRIE - BEAVER DAM</v>
      </c>
      <c r="H7" s="3" t="str">
        <f>CLEAN("STRUCTURES B-11-74 &amp; -75  B-13-288")</f>
        <v>STRUCTURES B-11-74 &amp; -75  B-13-288</v>
      </c>
      <c r="I7" s="3" t="str">
        <f>CLEAN("CONST OPS/BRSHRM BPC/PM APPR 100505")</f>
        <v>CONST OPS/BRSHRM BPC/PM APPR 100505</v>
      </c>
      <c r="J7" s="3">
        <v>0</v>
      </c>
    </row>
    <row r="8" spans="1:10" x14ac:dyDescent="0.25">
      <c r="A8" s="3" t="str">
        <f>CLEAN("COLUMBIA")</f>
        <v>COLUMBIA</v>
      </c>
      <c r="B8" s="6" t="str">
        <f>CLEAN("6030-01-05")</f>
        <v>6030-01-05</v>
      </c>
      <c r="C8" s="6" t="str">
        <f>CLEAN("6030-01-85")</f>
        <v>6030-01-85</v>
      </c>
      <c r="D8" s="6">
        <v>2020</v>
      </c>
      <c r="E8" s="6" t="str">
        <f>CLEAN("STH-022")</f>
        <v>STH-022</v>
      </c>
      <c r="F8" s="4">
        <v>43900</v>
      </c>
      <c r="G8" s="3" t="str">
        <f>CLEAN("STH 60 - MONTELLO")</f>
        <v>STH 60 - MONTELLO</v>
      </c>
      <c r="H8" s="3" t="str">
        <f>CLEAN("STH 16 BRIDGE B-11-072")</f>
        <v>STH 16 BRIDGE B-11-072</v>
      </c>
      <c r="I8" s="3" t="str">
        <f>CLEAN("CONST/ EMERGENCY REPAIR")</f>
        <v>CONST/ EMERGENCY REPAIR</v>
      </c>
      <c r="J8" s="3">
        <v>0.23699999999999999</v>
      </c>
    </row>
    <row r="9" spans="1:10" x14ac:dyDescent="0.25">
      <c r="A9" s="3" t="str">
        <f>CLEAN("COLUMBIA")</f>
        <v>COLUMBIA</v>
      </c>
      <c r="B9" s="6" t="str">
        <f>CLEAN("1011-01-33")</f>
        <v>1011-01-33</v>
      </c>
      <c r="C9" s="6" t="str">
        <f>CLEAN("1011-01-63")</f>
        <v>1011-01-63</v>
      </c>
      <c r="D9" s="6">
        <v>2020</v>
      </c>
      <c r="E9" s="6" t="str">
        <f>CLEAN("IH -039")</f>
        <v>IH -039</v>
      </c>
      <c r="F9" s="4">
        <v>43935</v>
      </c>
      <c r="G9" s="3" t="str">
        <f>CLEAN("MADISON - PORTAGE")</f>
        <v>MADISON - PORTAGE</v>
      </c>
      <c r="H9" s="3" t="str">
        <f>CLEAN("PATTON ROAD BRIDGE B-11-0018")</f>
        <v>PATTON ROAD BRIDGE B-11-0018</v>
      </c>
      <c r="I9" s="3" t="str">
        <f>CLEAN("CONST OPS/BRSHRM/PM APPR 20101128")</f>
        <v>CONST OPS/BRSHRM/PM APPR 20101128</v>
      </c>
      <c r="J9" s="3">
        <v>0</v>
      </c>
    </row>
    <row r="10" spans="1:10" x14ac:dyDescent="0.25">
      <c r="A10" s="3" t="str">
        <f>CLEAN("COLUMBIA")</f>
        <v>COLUMBIA</v>
      </c>
      <c r="B10" s="6" t="str">
        <f>CLEAN("1161-00-36")</f>
        <v>1161-00-36</v>
      </c>
      <c r="C10" s="6" t="str">
        <f>CLEAN("1161-00-66")</f>
        <v>1161-00-66</v>
      </c>
      <c r="D10" s="6">
        <v>2020</v>
      </c>
      <c r="E10" s="6" t="str">
        <f>CLEAN("IH -039")</f>
        <v>IH -039</v>
      </c>
      <c r="F10" s="4">
        <v>43935</v>
      </c>
      <c r="G10" s="3" t="str">
        <f>CLEAN("MADISON - PACKWAUKEE")</f>
        <v>MADISON - PACKWAUKEE</v>
      </c>
      <c r="H10" s="3" t="str">
        <f>CLEAN("STH 78 TO MARQUETTE COUNTY LINE  NB")</f>
        <v>STH 78 TO MARQUETTE COUNTY LINE  NB</v>
      </c>
      <c r="I10" s="3" t="str">
        <f>CLEAN("CONST/NB CONCRETE PAVEMENT REPAIR")</f>
        <v>CONST/NB CONCRETE PAVEMENT REPAIR</v>
      </c>
      <c r="J10" s="3">
        <v>10.895</v>
      </c>
    </row>
    <row r="11" spans="1:10" x14ac:dyDescent="0.25">
      <c r="A11" s="3" t="str">
        <f>CLEAN("COLUMBIA")</f>
        <v>COLUMBIA</v>
      </c>
      <c r="B11" s="6" t="str">
        <f>CLEAN("5630-06-31")</f>
        <v>5630-06-31</v>
      </c>
      <c r="C11" s="6" t="str">
        <f>CLEAN("5630-06-61")</f>
        <v>5630-06-61</v>
      </c>
      <c r="D11" s="6">
        <v>2020</v>
      </c>
      <c r="E11" s="6" t="str">
        <f>CLEAN("STH-078")</f>
        <v>STH-078</v>
      </c>
      <c r="F11" s="4">
        <v>43935</v>
      </c>
      <c r="G11" s="3" t="str">
        <f>CLEAN("SAUK CITY - IH 39")</f>
        <v>SAUK CITY - IH 39</v>
      </c>
      <c r="H11" s="3" t="str">
        <f>CLEAN("CTH DL TO ARCO DR")</f>
        <v>CTH DL TO ARCO DR</v>
      </c>
      <c r="I11" s="3" t="str">
        <f>CLEAN("CONST/MILL &amp; OVERLAY")</f>
        <v>CONST/MILL &amp; OVERLAY</v>
      </c>
      <c r="J11" s="3">
        <v>7.6559999999999997</v>
      </c>
    </row>
    <row r="12" spans="1:10" x14ac:dyDescent="0.25">
      <c r="A12" s="3" t="str">
        <f>CLEAN("COLUMBIA")</f>
        <v>COLUMBIA</v>
      </c>
      <c r="B12" s="6" t="str">
        <f>CLEAN("6075-00-04")</f>
        <v>6075-00-04</v>
      </c>
      <c r="C12" s="6" t="str">
        <f>CLEAN("6075-00-74")</f>
        <v>6075-00-74</v>
      </c>
      <c r="D12" s="6">
        <v>2020</v>
      </c>
      <c r="E12" s="6" t="str">
        <f>CLEAN("STH-060")</f>
        <v>STH-060</v>
      </c>
      <c r="F12" s="4">
        <v>43963</v>
      </c>
      <c r="G12" s="3" t="str">
        <f>CLEAN("IH 39 - ARLINGTON")</f>
        <v>IH 39 - ARLINGTON</v>
      </c>
      <c r="H12" s="3" t="str">
        <f>CLEAN("BULLEN ROAD TO US 51")</f>
        <v>BULLEN ROAD TO US 51</v>
      </c>
      <c r="I12" s="3" t="str">
        <f>CLEAN("CONST/ PAVEMENT REPLACEMENT")</f>
        <v>CONST/ PAVEMENT REPLACEMENT</v>
      </c>
      <c r="J12" s="3">
        <v>0.73</v>
      </c>
    </row>
    <row r="13" spans="1:10" x14ac:dyDescent="0.25">
      <c r="A13" s="3" t="str">
        <f>CLEAN("COLUMBIA")</f>
        <v>COLUMBIA</v>
      </c>
      <c r="B13" s="6" t="str">
        <f>CLEAN("6020-04-00")</f>
        <v>6020-04-00</v>
      </c>
      <c r="C13" s="6" t="str">
        <f>CLEAN("6020-04-80")</f>
        <v>6020-04-80</v>
      </c>
      <c r="D13" s="6">
        <v>2020</v>
      </c>
      <c r="E13" s="6" t="str">
        <f>CLEAN("USH-051")</f>
        <v>USH-051</v>
      </c>
      <c r="F13" s="4">
        <v>44026</v>
      </c>
      <c r="G13" s="3" t="str">
        <f>CLEAN("DEFOREST - PORTAGE")</f>
        <v>DEFOREST - PORTAGE</v>
      </c>
      <c r="H13" s="3" t="str">
        <f>CLEAN("ROCKY RUN CREEK BRIDGE B-11-0170")</f>
        <v>ROCKY RUN CREEK BRIDGE B-11-0170</v>
      </c>
      <c r="I13" s="3" t="str">
        <f>CLEAN("CONST/ BRIDGE REPLACEMENT")</f>
        <v>CONST/ BRIDGE REPLACEMENT</v>
      </c>
      <c r="J13" s="3">
        <v>0.248</v>
      </c>
    </row>
    <row r="14" spans="1:10" x14ac:dyDescent="0.25">
      <c r="A14" s="3" t="str">
        <f>CLEAN("COLUMBIA")</f>
        <v>COLUMBIA</v>
      </c>
      <c r="B14" s="6" t="str">
        <f>CLEAN("6020-04-31")</f>
        <v>6020-04-31</v>
      </c>
      <c r="C14" s="6" t="str">
        <f>CLEAN("6020-04-61")</f>
        <v>6020-04-61</v>
      </c>
      <c r="D14" s="6">
        <v>2020</v>
      </c>
      <c r="E14" s="6" t="str">
        <f>CLEAN("USH-051")</f>
        <v>USH-051</v>
      </c>
      <c r="F14" s="4">
        <v>44026</v>
      </c>
      <c r="G14" s="3" t="str">
        <f>CLEAN("DEFOREST - PORTAGE")</f>
        <v>DEFOREST - PORTAGE</v>
      </c>
      <c r="H14" s="3" t="str">
        <f>CLEAN("E JCT STH 60 TO TOMLINSON ROAD")</f>
        <v>E JCT STH 60 TO TOMLINSON ROAD</v>
      </c>
      <c r="I14" s="3" t="str">
        <f>CLEAN("CONST/ MILL AND OVERLAY")</f>
        <v>CONST/ MILL AND OVERLAY</v>
      </c>
      <c r="J14" s="3">
        <v>5.89</v>
      </c>
    </row>
    <row r="15" spans="1:10" x14ac:dyDescent="0.25">
      <c r="A15" s="3" t="str">
        <f>CLEAN("COLUMBIA")</f>
        <v>COLUMBIA</v>
      </c>
      <c r="B15" s="6" t="str">
        <f>CLEAN("6225-01-30")</f>
        <v>6225-01-30</v>
      </c>
      <c r="C15" s="6" t="str">
        <f>CLEAN("6225-01-60")</f>
        <v>6225-01-60</v>
      </c>
      <c r="D15" s="6">
        <v>2020</v>
      </c>
      <c r="E15" s="6" t="str">
        <f>CLEAN("STH-127")</f>
        <v>STH-127</v>
      </c>
      <c r="F15" s="4">
        <v>44026</v>
      </c>
      <c r="G15" s="3" t="str">
        <f>CLEAN("WISCONSIN DELLS - PORTAGE")</f>
        <v>WISCONSIN DELLS - PORTAGE</v>
      </c>
      <c r="H15" s="3" t="str">
        <f>CLEAN("STH 16 TO LA DAWN DRIVE")</f>
        <v>STH 16 TO LA DAWN DRIVE</v>
      </c>
      <c r="I15" s="3" t="str">
        <f>CLEAN("CONST/ MILL AND OVERLAY")</f>
        <v>CONST/ MILL AND OVERLAY</v>
      </c>
      <c r="J15" s="3">
        <v>13.94</v>
      </c>
    </row>
    <row r="16" spans="1:10" x14ac:dyDescent="0.25">
      <c r="A16" s="3" t="str">
        <f>CLEAN("COLUMBIA")</f>
        <v>COLUMBIA</v>
      </c>
      <c r="B16" s="6" t="str">
        <f>CLEAN("5270-01-30")</f>
        <v>5270-01-30</v>
      </c>
      <c r="C16" s="6" t="str">
        <f>CLEAN("5270-01-60")</f>
        <v>5270-01-60</v>
      </c>
      <c r="D16" s="6">
        <v>2021</v>
      </c>
      <c r="E16" s="6" t="str">
        <f>CLEAN("STH-060")</f>
        <v>STH-060</v>
      </c>
      <c r="F16" s="4">
        <v>44173</v>
      </c>
      <c r="G16" s="3" t="str">
        <f>CLEAN("SAUK CITY - ARLINGTON")</f>
        <v>SAUK CITY - ARLINGTON</v>
      </c>
      <c r="H16" s="3" t="str">
        <f>CLEAN("WISC R OVERFLOW BRIDGE TO RIDDLE RD")</f>
        <v>WISC R OVERFLOW BRIDGE TO RIDDLE RD</v>
      </c>
      <c r="I16" s="3" t="str">
        <f>CLEAN("CONST/ MILL AND OVERLAY")</f>
        <v>CONST/ MILL AND OVERLAY</v>
      </c>
      <c r="J16" s="3">
        <v>10.316000000000001</v>
      </c>
    </row>
    <row r="17" spans="1:10" x14ac:dyDescent="0.25">
      <c r="A17" s="3" t="str">
        <f>CLEAN("COLUMBIA")</f>
        <v>COLUMBIA</v>
      </c>
      <c r="B17" s="6" t="str">
        <f>CLEAN("6918-01-02")</f>
        <v>6918-01-02</v>
      </c>
      <c r="C17" s="6" t="str">
        <f>CLEAN("6918-01-72")</f>
        <v>6918-01-72</v>
      </c>
      <c r="D17" s="6">
        <v>2021</v>
      </c>
      <c r="E17" s="6" t="str">
        <f>CLEAN("USH-051")</f>
        <v>USH-051</v>
      </c>
      <c r="F17" s="4">
        <v>44173</v>
      </c>
      <c r="G17" s="3" t="str">
        <f>CLEAN("C PORTAGE  WISCONSIN &amp; DEWITT STS")</f>
        <v>C PORTAGE  WISCONSIN &amp; DEWITT STS</v>
      </c>
      <c r="H17" s="3" t="str">
        <f>CLEAN("ONTARIO STREET TO E PLEASANT STREET")</f>
        <v>ONTARIO STREET TO E PLEASANT STREET</v>
      </c>
      <c r="I17" s="3" t="str">
        <f>CLEAN("CONST OPS/GRADE  BASE &amp; SURFACE")</f>
        <v>CONST OPS/GRADE  BASE &amp; SURFACE</v>
      </c>
      <c r="J17" s="3">
        <v>1.07</v>
      </c>
    </row>
    <row r="18" spans="1:10" x14ac:dyDescent="0.25">
      <c r="A18" s="3" t="str">
        <f>CLEAN("COLUMBIA")</f>
        <v>COLUMBIA</v>
      </c>
      <c r="B18" s="6" t="str">
        <f>CLEAN("6040-00-03")</f>
        <v>6040-00-03</v>
      </c>
      <c r="C18" s="6" t="str">
        <f>CLEAN("6040-00-73")</f>
        <v>6040-00-73</v>
      </c>
      <c r="D18" s="6">
        <v>2021</v>
      </c>
      <c r="E18" s="6" t="str">
        <f>CLEAN("STH-033")</f>
        <v>STH-033</v>
      </c>
      <c r="F18" s="4">
        <v>44264</v>
      </c>
      <c r="G18" s="3" t="str">
        <f>CLEAN("PORTAGE - FOX LAKE")</f>
        <v>PORTAGE - FOX LAKE</v>
      </c>
      <c r="H18" s="3" t="str">
        <f>CLEAN("STH 22 TO 0.19 MI W OF MORRIS DRIVE")</f>
        <v>STH 22 TO 0.19 MI W OF MORRIS DRIVE</v>
      </c>
      <c r="I18" s="3" t="str">
        <f>CLEAN("CONST/MILL AND OVERLAY")</f>
        <v>CONST/MILL AND OVERLAY</v>
      </c>
      <c r="J18" s="3">
        <v>9.4350000000000005</v>
      </c>
    </row>
    <row r="19" spans="1:10" x14ac:dyDescent="0.25">
      <c r="A19" s="3" t="str">
        <f>CLEAN("COLUMBIA")</f>
        <v>COLUMBIA</v>
      </c>
      <c r="B19" s="6" t="str">
        <f>CLEAN("1161-00-37")</f>
        <v>1161-00-37</v>
      </c>
      <c r="C19" s="6" t="str">
        <f>CLEAN("1161-00-67")</f>
        <v>1161-00-67</v>
      </c>
      <c r="D19" s="6">
        <v>2021</v>
      </c>
      <c r="E19" s="6" t="str">
        <f>CLEAN("IH -039")</f>
        <v>IH -039</v>
      </c>
      <c r="F19" s="4">
        <v>44327</v>
      </c>
      <c r="G19" s="3" t="str">
        <f>CLEAN("PORTAGE - PACKWAUKEE")</f>
        <v>PORTAGE - PACKWAUKEE</v>
      </c>
      <c r="H19" s="3" t="str">
        <f>CLEAN("HOGAN ROAD BRGS B-11-68 &amp; B-11-69")</f>
        <v>HOGAN ROAD BRGS B-11-68 &amp; B-11-69</v>
      </c>
      <c r="I19" s="3" t="str">
        <f>CLEAN("CONST/POLYMER BRIDGE DECK OVERLAYS")</f>
        <v>CONST/POLYMER BRIDGE DECK OVERLAYS</v>
      </c>
      <c r="J19" s="3">
        <v>0</v>
      </c>
    </row>
    <row r="20" spans="1:10" x14ac:dyDescent="0.25">
      <c r="A20" s="3" t="str">
        <f>CLEAN("COLUMBIA")</f>
        <v>COLUMBIA</v>
      </c>
      <c r="B20" s="6" t="str">
        <f>CLEAN("1161-02-37")</f>
        <v>1161-02-37</v>
      </c>
      <c r="C20" s="6" t="str">
        <f>CLEAN("1161-02-67")</f>
        <v>1161-02-67</v>
      </c>
      <c r="D20" s="6">
        <v>2021</v>
      </c>
      <c r="E20" s="6" t="str">
        <f>CLEAN("IH -039")</f>
        <v>IH -039</v>
      </c>
      <c r="F20" s="4">
        <v>44327</v>
      </c>
      <c r="G20" s="3" t="str">
        <f>CLEAN("MADISON - PORTAGE")</f>
        <v>MADISON - PORTAGE</v>
      </c>
      <c r="H20" s="3" t="str">
        <f>CLEAN("BARABOO RIVER TO CTH O")</f>
        <v>BARABOO RIVER TO CTH O</v>
      </c>
      <c r="I20" s="3" t="str">
        <f>CLEAN("CONST/MEDIAN CABLE BARRIER")</f>
        <v>CONST/MEDIAN CABLE BARRIER</v>
      </c>
      <c r="J20" s="3">
        <v>3.5</v>
      </c>
    </row>
    <row r="21" spans="1:10" x14ac:dyDescent="0.25">
      <c r="A21" s="3" t="str">
        <f>CLEAN("COLUMBIA")</f>
        <v>COLUMBIA</v>
      </c>
      <c r="B21" s="6" t="str">
        <f>CLEAN("6993-03-00")</f>
        <v>6993-03-00</v>
      </c>
      <c r="C21" s="6" t="str">
        <f>CLEAN("6993-03-70")</f>
        <v>6993-03-70</v>
      </c>
      <c r="D21" s="6">
        <v>2022</v>
      </c>
      <c r="E21" s="6" t="str">
        <f>CLEAN("STH-044")</f>
        <v>STH-044</v>
      </c>
      <c r="F21" s="4">
        <v>44418</v>
      </c>
      <c r="G21" s="3" t="str">
        <f>CLEAN("PARDEEVILLE - MANCHESTER")</f>
        <v>PARDEEVILLE - MANCHESTER</v>
      </c>
      <c r="H21" s="3" t="str">
        <f>CLEAN("CTH P TO STH 33")</f>
        <v>CTH P TO STH 33</v>
      </c>
      <c r="I21" s="3" t="str">
        <f>CLEAN("CONST/ MILL AND OVERLAY")</f>
        <v>CONST/ MILL AND OVERLAY</v>
      </c>
      <c r="J21" s="3">
        <v>2.44</v>
      </c>
    </row>
    <row r="22" spans="1:10" x14ac:dyDescent="0.25">
      <c r="A22" s="3" t="str">
        <f>CLEAN("COLUMBIA")</f>
        <v>COLUMBIA</v>
      </c>
      <c r="B22" s="6" t="str">
        <f>CLEAN("1400-01-00")</f>
        <v>1400-01-00</v>
      </c>
      <c r="C22" s="6" t="str">
        <f>CLEAN("1400-01-70")</f>
        <v>1400-01-70</v>
      </c>
      <c r="D22" s="6">
        <v>2022</v>
      </c>
      <c r="E22" s="6" t="str">
        <f>CLEAN("STH-016")</f>
        <v>STH-016</v>
      </c>
      <c r="F22" s="4">
        <v>44509</v>
      </c>
      <c r="G22" s="3" t="str">
        <f>CLEAN("PORTAGE - COLUMBUS")</f>
        <v>PORTAGE - COLUMBUS</v>
      </c>
      <c r="H22" s="3" t="str">
        <f>CLEAN("LINCOLN TO FALL RIVER-COLUMBUS RD")</f>
        <v>LINCOLN TO FALL RIVER-COLUMBUS RD</v>
      </c>
      <c r="I22" s="3" t="str">
        <f>CLEAN("CONST/ MILL &amp; OVERLAY  BRIDGE REPL")</f>
        <v>CONST/ MILL &amp; OVERLAY  BRIDGE REPL</v>
      </c>
      <c r="J22" s="3">
        <v>12.195</v>
      </c>
    </row>
    <row r="23" spans="1:10" x14ac:dyDescent="0.25">
      <c r="A23" s="3" t="str">
        <f>CLEAN("COLUMBIA")</f>
        <v>COLUMBIA</v>
      </c>
      <c r="B23" s="6" t="str">
        <f>CLEAN("1400-01-03")</f>
        <v>1400-01-03</v>
      </c>
      <c r="C23" s="6" t="str">
        <f>CLEAN("1400-01-73")</f>
        <v>1400-01-73</v>
      </c>
      <c r="D23" s="6">
        <v>2022</v>
      </c>
      <c r="E23" s="6" t="str">
        <f>CLEAN("STH-016")</f>
        <v>STH-016</v>
      </c>
      <c r="F23" s="4">
        <v>44509</v>
      </c>
      <c r="G23" s="3" t="str">
        <f>CLEAN("PORTAGE - COLUMBUS")</f>
        <v>PORTAGE - COLUMBUS</v>
      </c>
      <c r="H23" s="3" t="str">
        <f>CLEAN("USH 51 TO LINCOLN AVE")</f>
        <v>USH 51 TO LINCOLN AVE</v>
      </c>
      <c r="I23" s="3" t="str">
        <f>CLEAN("CONST/ MILL &amp; OVERLAY")</f>
        <v>CONST/ MILL &amp; OVERLAY</v>
      </c>
      <c r="J23" s="3">
        <v>10.029999999999999</v>
      </c>
    </row>
    <row r="24" spans="1:10" x14ac:dyDescent="0.25">
      <c r="A24" s="3" t="str">
        <f>CLEAN("COLUMBIA")</f>
        <v>COLUMBIA</v>
      </c>
      <c r="B24" s="6" t="str">
        <f>CLEAN("3670-01-01")</f>
        <v>3670-01-01</v>
      </c>
      <c r="C24" s="6" t="str">
        <f>CLEAN("3670-01-71")</f>
        <v>3670-01-71</v>
      </c>
      <c r="D24" s="6">
        <v>2022</v>
      </c>
      <c r="E24" s="6" t="str">
        <f>CLEAN("STH-089")</f>
        <v>STH-089</v>
      </c>
      <c r="F24" s="4">
        <v>44509</v>
      </c>
      <c r="G24" s="3" t="str">
        <f>CLEAN("C COLUMBUS  FARNHAM STREET")</f>
        <v>C COLUMBUS  FARNHAM STREET</v>
      </c>
      <c r="H24" s="3" t="str">
        <f>CLEAN("0.32MI S OF AVALON RD TO PARK AVE")</f>
        <v>0.32MI S OF AVALON RD TO PARK AVE</v>
      </c>
      <c r="I24" s="3" t="str">
        <f>CLEAN("CONST/RECONSTRUCT ROADWAY")</f>
        <v>CONST/RECONSTRUCT ROADWAY</v>
      </c>
      <c r="J24" s="3">
        <v>1.18</v>
      </c>
    </row>
    <row r="25" spans="1:10" x14ac:dyDescent="0.25">
      <c r="A25" s="3" t="str">
        <f>CLEAN("COLUMBIA")</f>
        <v>COLUMBIA</v>
      </c>
      <c r="B25" s="6" t="str">
        <f>CLEAN("3670-01-01")</f>
        <v>3670-01-01</v>
      </c>
      <c r="C25" s="6" t="str">
        <f>CLEAN("3670-01-72")</f>
        <v>3670-01-72</v>
      </c>
      <c r="D25" s="6">
        <v>2022</v>
      </c>
      <c r="E25" s="6" t="str">
        <f>CLEAN("STH-089")</f>
        <v>STH-089</v>
      </c>
      <c r="F25" s="4">
        <v>44509</v>
      </c>
      <c r="G25" s="3" t="str">
        <f>CLEAN("C COLUMBUS  FARNHAM STREET")</f>
        <v>C COLUMBUS  FARNHAM STREET</v>
      </c>
      <c r="H25" s="3" t="str">
        <f>CLEAN("0.32MI S OF AVALON RD TO PARK AVE")</f>
        <v>0.32MI S OF AVALON RD TO PARK AVE</v>
      </c>
      <c r="I25" s="3" t="str">
        <f>CLEAN("CONST/ WATER MAIN &amp; SANITARY SEWER")</f>
        <v>CONST/ WATER MAIN &amp; SANITARY SEWER</v>
      </c>
      <c r="J25" s="3">
        <v>1.18</v>
      </c>
    </row>
    <row r="26" spans="1:10" x14ac:dyDescent="0.25">
      <c r="A26" s="3" t="str">
        <f>CLEAN("COLUMBIA")</f>
        <v>COLUMBIA</v>
      </c>
      <c r="B26" s="6" t="str">
        <f>CLEAN("6020-00-00")</f>
        <v>6020-00-00</v>
      </c>
      <c r="C26" s="6" t="str">
        <f>CLEAN("6020-00-70")</f>
        <v>6020-00-70</v>
      </c>
      <c r="D26" s="6">
        <v>2022</v>
      </c>
      <c r="E26" s="6" t="str">
        <f>CLEAN("USH-051")</f>
        <v>USH-051</v>
      </c>
      <c r="F26" s="4">
        <v>44544</v>
      </c>
      <c r="G26" s="3" t="str">
        <f>CLEAN("DEFOREST - PORTAGE")</f>
        <v>DEFOREST - PORTAGE</v>
      </c>
      <c r="H26" s="3" t="str">
        <f>CLEAN("STH 22/STH 60 INTERSECTION")</f>
        <v>STH 22/STH 60 INTERSECTION</v>
      </c>
      <c r="I26" s="3" t="str">
        <f>CLEAN("CONST/INTERSECTION IMPROVEMENTS")</f>
        <v>CONST/INTERSECTION IMPROVEMENTS</v>
      </c>
      <c r="J26" s="3">
        <v>1.46</v>
      </c>
    </row>
    <row r="27" spans="1:10" x14ac:dyDescent="0.25">
      <c r="A27" s="3" t="str">
        <f>CLEAN("COLUMBIA")</f>
        <v>COLUMBIA</v>
      </c>
      <c r="B27" s="6" t="str">
        <f>CLEAN("6060-01-00")</f>
        <v>6060-01-00</v>
      </c>
      <c r="C27" s="6" t="str">
        <f>CLEAN("6060-01-70")</f>
        <v>6060-01-70</v>
      </c>
      <c r="D27" s="6">
        <v>2022</v>
      </c>
      <c r="E27" s="6" t="str">
        <f>CLEAN("STH-073")</f>
        <v>STH-073</v>
      </c>
      <c r="F27" s="4">
        <v>44544</v>
      </c>
      <c r="G27" s="3" t="str">
        <f>CLEAN("COLUMBUS - PRINCETON")</f>
        <v>COLUMBUS - PRINCETON</v>
      </c>
      <c r="H27" s="3" t="str">
        <f>CLEAN("STH 33 TO N COUNTY LINE ROAD")</f>
        <v>STH 33 TO N COUNTY LINE ROAD</v>
      </c>
      <c r="I27" s="3" t="str">
        <f>CLEAN("CONST/ MILL AND OVERLAY")</f>
        <v>CONST/ MILL AND OVERLAY</v>
      </c>
      <c r="J27" s="3">
        <v>5.48</v>
      </c>
    </row>
    <row r="28" spans="1:10" x14ac:dyDescent="0.25">
      <c r="A28" s="3" t="str">
        <f>CLEAN("COLUMBIA")</f>
        <v>COLUMBIA</v>
      </c>
      <c r="B28" s="6" t="str">
        <f>CLEAN("1014-00-39")</f>
        <v>1014-00-39</v>
      </c>
      <c r="C28" s="6" t="str">
        <f>CLEAN("1014-00-69")</f>
        <v>1014-00-69</v>
      </c>
      <c r="D28" s="6">
        <v>2022</v>
      </c>
      <c r="E28" s="6" t="str">
        <f>CLEAN("IH -090")</f>
        <v>IH -090</v>
      </c>
      <c r="F28" s="4">
        <v>44600</v>
      </c>
      <c r="G28" s="3" t="str">
        <f>CLEAN("WISCONSIN DELLS - PORTAGE")</f>
        <v>WISCONSIN DELLS - PORTAGE</v>
      </c>
      <c r="H28" s="3" t="str">
        <f>CLEAN("BARABOO RIVER BRGS B-11-0137 -0138")</f>
        <v>BARABOO RIVER BRGS B-11-0137 -0138</v>
      </c>
      <c r="I28" s="3" t="str">
        <f>CLEAN("CONST/SCOUR MITIGATION")</f>
        <v>CONST/SCOUR MITIGATION</v>
      </c>
      <c r="J28" s="3">
        <v>0.03</v>
      </c>
    </row>
    <row r="29" spans="1:10" x14ac:dyDescent="0.25">
      <c r="A29" s="3" t="str">
        <f>CLEAN("COLUMBIA")</f>
        <v>COLUMBIA</v>
      </c>
      <c r="B29" s="6" t="str">
        <f>CLEAN("1161-00-00")</f>
        <v>1161-00-00</v>
      </c>
      <c r="C29" s="6" t="str">
        <f>CLEAN("1161-00-70")</f>
        <v>1161-00-70</v>
      </c>
      <c r="D29" s="6">
        <v>2022</v>
      </c>
      <c r="E29" s="6" t="str">
        <f>CLEAN("IH -039")</f>
        <v>IH -039</v>
      </c>
      <c r="F29" s="4">
        <v>44600</v>
      </c>
      <c r="G29" s="3" t="str">
        <f>CLEAN("MADISON - PACKWAUKEE")</f>
        <v>MADISON - PACKWAUKEE</v>
      </c>
      <c r="H29" s="3" t="str">
        <f>CLEAN("IH 90/94/78 TO THE WISCONSIN RIVER")</f>
        <v>IH 90/94/78 TO THE WISCONSIN RIVER</v>
      </c>
      <c r="I29" s="3" t="str">
        <f>CLEAN("CONST/FLOOD ABATEMENT")</f>
        <v>CONST/FLOOD ABATEMENT</v>
      </c>
      <c r="J29" s="3">
        <v>3.72</v>
      </c>
    </row>
    <row r="30" spans="1:10" x14ac:dyDescent="0.25">
      <c r="A30" s="3" t="str">
        <f>CLEAN("COLUMBIA")</f>
        <v>COLUMBIA</v>
      </c>
      <c r="B30" s="6" t="str">
        <f>CLEAN("6130-02-30")</f>
        <v>6130-02-30</v>
      </c>
      <c r="C30" s="6" t="str">
        <f>CLEAN("6130-02-60")</f>
        <v>6130-02-60</v>
      </c>
      <c r="D30" s="6">
        <v>2022</v>
      </c>
      <c r="E30" s="6" t="str">
        <f>CLEAN("STH-013")</f>
        <v>STH-013</v>
      </c>
      <c r="F30" s="4">
        <v>44600</v>
      </c>
      <c r="G30" s="3" t="str">
        <f>CLEAN("WISCONSIN DELLS - ADAMS")</f>
        <v>WISCONSIN DELLS - ADAMS</v>
      </c>
      <c r="H30" s="3" t="str">
        <f>CLEAN("WISCONSIN RIVER STRUCS B-11-001/104")</f>
        <v>WISCONSIN RIVER STRUCS B-11-001/104</v>
      </c>
      <c r="I30" s="3" t="str">
        <f>CLEAN("CONST/ SCOUR MITIGATION")</f>
        <v>CONST/ SCOUR MITIGATION</v>
      </c>
      <c r="J30" s="3">
        <v>0</v>
      </c>
    </row>
    <row r="31" spans="1:10" x14ac:dyDescent="0.25">
      <c r="A31" s="3" t="str">
        <f>CLEAN("COLUMBIA")</f>
        <v>COLUMBIA</v>
      </c>
      <c r="B31" s="6" t="str">
        <f>CLEAN("1012-01-04")</f>
        <v>1012-01-04</v>
      </c>
      <c r="C31" s="6" t="str">
        <f>CLEAN("1012-01-74")</f>
        <v>1012-01-74</v>
      </c>
      <c r="D31" s="6">
        <v>2022</v>
      </c>
      <c r="E31" s="6" t="str">
        <f>CLEAN("IH -039")</f>
        <v>IH -039</v>
      </c>
      <c r="F31" s="4">
        <v>44754</v>
      </c>
      <c r="G31" s="3" t="str">
        <f>CLEAN("MADISON - PORTAGE")</f>
        <v>MADISON - PORTAGE</v>
      </c>
      <c r="H31" s="3" t="str">
        <f>CLEAN("STH 60 INTERCHANGE  B-11-165 &amp; 166")</f>
        <v>STH 60 INTERCHANGE  B-11-165 &amp; 166</v>
      </c>
      <c r="I31" s="3" t="str">
        <f>CLEAN("CONST/REPL BRIDGES  INTERCHANGE")</f>
        <v>CONST/REPL BRIDGES  INTERCHANGE</v>
      </c>
      <c r="J31" s="3">
        <v>1.7</v>
      </c>
    </row>
    <row r="32" spans="1:10" x14ac:dyDescent="0.25">
      <c r="A32" s="3" t="str">
        <f>CLEAN("COLUMBIA")</f>
        <v>COLUMBIA</v>
      </c>
      <c r="B32" s="6" t="str">
        <f>CLEAN("5640-04-00")</f>
        <v>5640-04-00</v>
      </c>
      <c r="C32" s="6" t="str">
        <f>CLEAN("5640-04-70")</f>
        <v>5640-04-70</v>
      </c>
      <c r="D32" s="6">
        <v>2023</v>
      </c>
      <c r="E32" s="6" t="str">
        <f>CLEAN("STH-113")</f>
        <v>STH-113</v>
      </c>
      <c r="F32" s="4">
        <v>44908</v>
      </c>
      <c r="G32" s="3" t="str">
        <f>CLEAN("LODI - BARABOO")</f>
        <v>LODI - BARABOO</v>
      </c>
      <c r="H32" s="3" t="str">
        <f>CLEAN("STH 60 TO STH 188")</f>
        <v>STH 60 TO STH 188</v>
      </c>
      <c r="I32" s="3" t="str">
        <f>CLEAN("CONST/ MILL AND OVERLAY")</f>
        <v>CONST/ MILL AND OVERLAY</v>
      </c>
      <c r="J32" s="3">
        <v>6.234</v>
      </c>
    </row>
    <row r="33" spans="1:10" x14ac:dyDescent="0.25">
      <c r="A33" s="3" t="str">
        <f>CLEAN("COLUMBIA")</f>
        <v>COLUMBIA</v>
      </c>
      <c r="B33" s="6" t="str">
        <f>CLEAN("6010-00-03")</f>
        <v>6010-00-03</v>
      </c>
      <c r="C33" s="6" t="str">
        <f>CLEAN("6010-00-73")</f>
        <v>6010-00-73</v>
      </c>
      <c r="D33" s="6">
        <v>2024</v>
      </c>
      <c r="E33" s="6" t="str">
        <f>CLEAN("STH-060")</f>
        <v>STH-060</v>
      </c>
      <c r="F33" s="4">
        <v>45244</v>
      </c>
      <c r="G33" s="3" t="str">
        <f>CLEAN("ARLINGTON - COLUMBUS")</f>
        <v>ARLINGTON - COLUMBUS</v>
      </c>
      <c r="H33" s="3" t="str">
        <f>CLEAN("STH 22 TO COMMERCE DRIVE")</f>
        <v>STH 22 TO COMMERCE DRIVE</v>
      </c>
      <c r="I33" s="3" t="str">
        <f>CLEAN("CONST/ PAVE REPLACE")</f>
        <v>CONST/ PAVE REPLACE</v>
      </c>
      <c r="J33" s="3">
        <v>14.686</v>
      </c>
    </row>
    <row r="34" spans="1:10" x14ac:dyDescent="0.25">
      <c r="A34" s="3" t="str">
        <f>CLEAN("COLUMBIA")</f>
        <v>COLUMBIA</v>
      </c>
      <c r="B34" s="6" t="str">
        <f>CLEAN("6040-00-04")</f>
        <v>6040-00-04</v>
      </c>
      <c r="C34" s="6" t="str">
        <f>CLEAN("6040-00-74")</f>
        <v>6040-00-74</v>
      </c>
      <c r="D34" s="6">
        <v>2024</v>
      </c>
      <c r="E34" s="6" t="str">
        <f>CLEAN("STH-033")</f>
        <v>STH-033</v>
      </c>
      <c r="F34" s="4">
        <v>45244</v>
      </c>
      <c r="G34" s="3" t="str">
        <f>CLEAN("PORTAGE - FOX LAKE")</f>
        <v>PORTAGE - FOX LAKE</v>
      </c>
      <c r="H34" s="3" t="str">
        <f>CLEAN("0.19 MI W OF MORRIS DRIVE TO STH 73")</f>
        <v>0.19 MI W OF MORRIS DRIVE TO STH 73</v>
      </c>
      <c r="I34" s="3" t="str">
        <f>CLEAN("CONST/ PAVE REPLACE  B-11-66")</f>
        <v>CONST/ PAVE REPLACE  B-11-66</v>
      </c>
      <c r="J34" s="3">
        <v>6.03</v>
      </c>
    </row>
    <row r="35" spans="1:10" x14ac:dyDescent="0.25">
      <c r="A35" s="3" t="str">
        <f>CLEAN("COLUMBIA")</f>
        <v>COLUMBIA</v>
      </c>
      <c r="B35" s="6" t="str">
        <f>CLEAN("6630-00-00")</f>
        <v>6630-00-00</v>
      </c>
      <c r="C35" s="6" t="str">
        <f>CLEAN("6630-00-70")</f>
        <v>6630-00-70</v>
      </c>
      <c r="D35" s="6">
        <v>2024</v>
      </c>
      <c r="E35" s="6" t="str">
        <f>CLEAN("STH-044")</f>
        <v>STH-044</v>
      </c>
      <c r="F35" s="4">
        <v>45244</v>
      </c>
      <c r="G35" s="3" t="str">
        <f>CLEAN("PARDEEVILLE - MANCHESTER")</f>
        <v>PARDEEVILLE - MANCHESTER</v>
      </c>
      <c r="H35" s="3" t="str">
        <f>CLEAN("STH 33 TO CTH HH")</f>
        <v>STH 33 TO CTH HH</v>
      </c>
      <c r="I35" s="3" t="str">
        <f>CLEAN("CONST/ MILL AND OVERLAY")</f>
        <v>CONST/ MILL AND OVERLAY</v>
      </c>
      <c r="J35" s="3">
        <v>6.16</v>
      </c>
    </row>
    <row r="36" spans="1:10" x14ac:dyDescent="0.25">
      <c r="A36" s="3" t="str">
        <f>CLEAN("COLUMBIA")</f>
        <v>COLUMBIA</v>
      </c>
      <c r="B36" s="6" t="str">
        <f>CLEAN("6630-00-01")</f>
        <v>6630-00-01</v>
      </c>
      <c r="C36" s="6" t="str">
        <f>CLEAN("6630-00-81")</f>
        <v>6630-00-81</v>
      </c>
      <c r="D36" s="6">
        <v>2024</v>
      </c>
      <c r="E36" s="6" t="str">
        <f>CLEAN("STH-044")</f>
        <v>STH-044</v>
      </c>
      <c r="F36" s="4">
        <v>45244</v>
      </c>
      <c r="G36" s="3" t="str">
        <f>CLEAN("PARDEEVILLE - MANCHESTER")</f>
        <v>PARDEEVILLE - MANCHESTER</v>
      </c>
      <c r="H36" s="3" t="str">
        <f>CLEAN("FOX RIVER STRUCTURE")</f>
        <v>FOX RIVER STRUCTURE</v>
      </c>
      <c r="I36" s="3" t="str">
        <f>CLEAN("CONST/ STRUCTURE REPLACEMENT")</f>
        <v>CONST/ STRUCTURE REPLACEMENT</v>
      </c>
      <c r="J36" s="3">
        <v>1.7999999999999999E-2</v>
      </c>
    </row>
    <row r="37" spans="1:10" x14ac:dyDescent="0.25">
      <c r="A37" s="3" t="str">
        <f>CLEAN("COLUMBIA")</f>
        <v>COLUMBIA</v>
      </c>
      <c r="B37" s="6" t="str">
        <f>CLEAN("6020-04-02")</f>
        <v>6020-04-02</v>
      </c>
      <c r="C37" s="6" t="str">
        <f>CLEAN("6020-04-72")</f>
        <v>6020-04-72</v>
      </c>
      <c r="D37" s="6">
        <v>2024</v>
      </c>
      <c r="E37" s="6" t="str">
        <f>CLEAN("USH-051")</f>
        <v>USH-051</v>
      </c>
      <c r="F37" s="4">
        <v>45272</v>
      </c>
      <c r="G37" s="3" t="str">
        <f>CLEAN("DEFOREST - PORTAGE")</f>
        <v>DEFOREST - PORTAGE</v>
      </c>
      <c r="H37" s="3" t="str">
        <f>CLEAN("TOMLINSON ROAD TO ONTARIO STREET")</f>
        <v>TOMLINSON ROAD TO ONTARIO STREET</v>
      </c>
      <c r="I37" s="3" t="str">
        <f>CLEAN("CONST/ MILL &amp; OVERLAY")</f>
        <v>CONST/ MILL &amp; OVERLAY</v>
      </c>
      <c r="J37" s="3">
        <v>10.711</v>
      </c>
    </row>
    <row r="38" spans="1:10" x14ac:dyDescent="0.25">
      <c r="A38" s="3" t="str">
        <f>CLEAN("COLUMBIA")</f>
        <v>COLUMBIA</v>
      </c>
      <c r="B38" s="6" t="str">
        <f>CLEAN("6225-01-00")</f>
        <v>6225-01-00</v>
      </c>
      <c r="C38" s="6" t="str">
        <f>CLEAN("6225-01-70")</f>
        <v>6225-01-70</v>
      </c>
      <c r="D38" s="6">
        <v>2025</v>
      </c>
      <c r="E38" s="6" t="str">
        <f>CLEAN("STH-127")</f>
        <v>STH-127</v>
      </c>
      <c r="F38" s="4">
        <v>45636</v>
      </c>
      <c r="G38" s="3" t="str">
        <f>CLEAN("WISCONSIN DELLS - PORTAGE")</f>
        <v>WISCONSIN DELLS - PORTAGE</v>
      </c>
      <c r="H38" s="3" t="str">
        <f>CLEAN("STH 16 TO LA DAWN DRIVE")</f>
        <v>STH 16 TO LA DAWN DRIVE</v>
      </c>
      <c r="I38" s="3" t="str">
        <f>CLEAN("CONST/ PAVE REPLACE")</f>
        <v>CONST/ PAVE REPLACE</v>
      </c>
      <c r="J38" s="3">
        <v>13.98</v>
      </c>
    </row>
    <row r="39" spans="1:10" x14ac:dyDescent="0.25">
      <c r="A39" s="3" t="str">
        <f>CLEAN("COLUMBIA")</f>
        <v>COLUMBIA</v>
      </c>
      <c r="B39" s="6" t="str">
        <f>CLEAN("1400-00-03")</f>
        <v>1400-00-03</v>
      </c>
      <c r="C39" s="6" t="str">
        <f>CLEAN("1400-00-73")</f>
        <v>1400-00-73</v>
      </c>
      <c r="D39" s="6">
        <v>2025</v>
      </c>
      <c r="E39" s="6" t="str">
        <f>CLEAN("STH-016")</f>
        <v>STH-016</v>
      </c>
      <c r="F39" s="4">
        <v>45699</v>
      </c>
      <c r="G39" s="3" t="str">
        <f>CLEAN("SALT STORAGE  COLUMBIA COUNTY")</f>
        <v>SALT STORAGE  COLUMBIA COUNTY</v>
      </c>
      <c r="H39" s="3" t="str">
        <f>CLEAN("C OF PORTAGE")</f>
        <v>C OF PORTAGE</v>
      </c>
      <c r="I39" s="3" t="str">
        <f>CLEAN("CONST/REPLACE SALT SHED")</f>
        <v>CONST/REPLACE SALT SHED</v>
      </c>
      <c r="J39" s="3">
        <v>1.2E-2</v>
      </c>
    </row>
    <row r="40" spans="1:10" x14ac:dyDescent="0.25">
      <c r="A40" s="3" t="str">
        <f>CLEAN("COLUMBIA")</f>
        <v>COLUMBIA</v>
      </c>
      <c r="B40" s="6" t="str">
        <f>CLEAN("6040-00-35")</f>
        <v>6040-00-35</v>
      </c>
      <c r="C40" s="6" t="str">
        <f>CLEAN("6040-00-65")</f>
        <v>6040-00-65</v>
      </c>
      <c r="D40" s="6">
        <v>2026</v>
      </c>
      <c r="E40" s="6" t="str">
        <f>CLEAN("STH-033")</f>
        <v>STH-033</v>
      </c>
      <c r="F40" s="4">
        <v>45972</v>
      </c>
      <c r="G40" s="3" t="str">
        <f>CLEAN("PORTAGE - FOX LAKE")</f>
        <v>PORTAGE - FOX LAKE</v>
      </c>
      <c r="H40" s="3" t="str">
        <f>CLEAN("0.13 MI E OF JACKSON ST TO STH 22")</f>
        <v>0.13 MI E OF JACKSON ST TO STH 22</v>
      </c>
      <c r="I40" s="3" t="str">
        <f>CLEAN("CONST/ MILL AND OVERLAY")</f>
        <v>CONST/ MILL AND OVERLAY</v>
      </c>
      <c r="J40" s="3">
        <v>7.64</v>
      </c>
    </row>
    <row r="41" spans="1:10" x14ac:dyDescent="0.25">
      <c r="A41" s="3" t="str">
        <f>CLEAN("COLUMBIA")</f>
        <v>COLUMBIA</v>
      </c>
      <c r="B41" s="6" t="str">
        <f>CLEAN("1012-00-01")</f>
        <v>1012-00-01</v>
      </c>
      <c r="C41" s="6" t="str">
        <f>CLEAN("1012-00-71")</f>
        <v>1012-00-71</v>
      </c>
      <c r="D41" s="6">
        <v>2028</v>
      </c>
      <c r="E41" s="6" t="str">
        <f>CLEAN("IH -039")</f>
        <v>IH -039</v>
      </c>
      <c r="F41" s="4">
        <v>46644</v>
      </c>
      <c r="G41" s="3" t="str">
        <f>CLEAN("MADISON - PORTAGE")</f>
        <v>MADISON - PORTAGE</v>
      </c>
      <c r="H41" s="3" t="str">
        <f>CLEAN("WISCONSIN RIVER  CTH U &amp; CTH V BRGS")</f>
        <v>WISCONSIN RIVER  CTH U &amp; CTH V BRGS</v>
      </c>
      <c r="I41" s="3" t="str">
        <f>CLEAN("CONST/REPLACE B11-XXX/XXX/XXX/XXX")</f>
        <v>CONST/REPLACE B11-XXX/XXX/XXX/XXX</v>
      </c>
      <c r="J41" s="3">
        <v>1.28</v>
      </c>
    </row>
    <row r="42" spans="1:10" x14ac:dyDescent="0.25">
      <c r="A42" s="3"/>
      <c r="B42" s="6"/>
      <c r="C42" s="6"/>
      <c r="D42" s="6"/>
      <c r="E42" s="6"/>
      <c r="F42" s="4"/>
      <c r="G42" s="3"/>
      <c r="H42" s="3"/>
      <c r="I42" s="3"/>
      <c r="J42" s="3"/>
    </row>
    <row r="43" spans="1:10" x14ac:dyDescent="0.25">
      <c r="A43" s="3" t="str">
        <f>CLEAN("CRAWFORD")</f>
        <v>CRAWFORD</v>
      </c>
      <c r="B43" s="6" t="str">
        <f>CLEAN("1660-03-38")</f>
        <v>1660-03-38</v>
      </c>
      <c r="C43" s="6" t="str">
        <f>CLEAN("1660-03-68")</f>
        <v>1660-03-68</v>
      </c>
      <c r="D43" s="6">
        <v>2019</v>
      </c>
      <c r="E43" s="6" t="str">
        <f>CLEAN("USH-018")</f>
        <v>USH-018</v>
      </c>
      <c r="F43" s="4">
        <v>43480</v>
      </c>
      <c r="G43" s="3" t="str">
        <f>CLEAN("MARQUETTE - PRAIRIE DU CHIEN")</f>
        <v>MARQUETTE - PRAIRIE DU CHIEN</v>
      </c>
      <c r="H43" s="3" t="str">
        <f>CLEAN("MISSISSIPPI RVR STRUC B-12-28/29/30")</f>
        <v>MISSISSIPPI RVR STRUC B-12-28/29/30</v>
      </c>
      <c r="I43" s="3" t="str">
        <f>CLEAN("CONST/DECK REHAB PAINTING REPAIRS")</f>
        <v>CONST/DECK REHAB PAINTING REPAIRS</v>
      </c>
      <c r="J43" s="3">
        <v>0</v>
      </c>
    </row>
    <row r="44" spans="1:10" x14ac:dyDescent="0.25">
      <c r="A44" s="3" t="str">
        <f>CLEAN("CRAWFORD")</f>
        <v>CRAWFORD</v>
      </c>
      <c r="B44" s="6" t="str">
        <f>CLEAN("1660-03-38")</f>
        <v>1660-03-38</v>
      </c>
      <c r="C44" s="6" t="str">
        <f>CLEAN("1660-03-61")</f>
        <v>1660-03-61</v>
      </c>
      <c r="D44" s="6">
        <v>2019</v>
      </c>
      <c r="E44" s="6" t="str">
        <f>CLEAN("USH-018")</f>
        <v>USH-018</v>
      </c>
      <c r="F44" s="4">
        <v>43627</v>
      </c>
      <c r="G44" s="3" t="str">
        <f>CLEAN("MARQUETTE - PRAIRIE DU CHIEN")</f>
        <v>MARQUETTE - PRAIRIE DU CHIEN</v>
      </c>
      <c r="H44" s="3" t="str">
        <f>CLEAN("MISSISSIPPI RIVER STRUCT B-12-28")</f>
        <v>MISSISSIPPI RIVER STRUCT B-12-28</v>
      </c>
      <c r="I44" s="3" t="str">
        <f>CLEAN("CONST/DECK REHAB  PAINTING  REPAIRS")</f>
        <v>CONST/DECK REHAB  PAINTING  REPAIRS</v>
      </c>
      <c r="J44" s="3">
        <v>0</v>
      </c>
    </row>
    <row r="45" spans="1:10" x14ac:dyDescent="0.25">
      <c r="A45" s="3" t="str">
        <f>CLEAN("CRAWFORD")</f>
        <v>CRAWFORD</v>
      </c>
      <c r="B45" s="6" t="str">
        <f>CLEAN("5170-05-01")</f>
        <v>5170-05-01</v>
      </c>
      <c r="C45" s="6" t="str">
        <f>CLEAN("5170-05-61")</f>
        <v>5170-05-61</v>
      </c>
      <c r="D45" s="6">
        <v>2020</v>
      </c>
      <c r="E45" s="6" t="str">
        <f>CLEAN("STH-082")</f>
        <v>STH-082</v>
      </c>
      <c r="F45" s="4">
        <v>43781</v>
      </c>
      <c r="G45" s="3" t="str">
        <f>CLEAN("LANSING - DESOTO")</f>
        <v>LANSING - DESOTO</v>
      </c>
      <c r="H45" s="3" t="str">
        <f>CLEAN("SLOUGH BRIDGES B-12-5 6 7")</f>
        <v>SLOUGH BRIDGES B-12-5 6 7</v>
      </c>
      <c r="I45" s="3" t="str">
        <f>CLEAN("CONST/BRIDGE REHABILITATION")</f>
        <v>CONST/BRIDGE REHABILITATION</v>
      </c>
      <c r="J45" s="3">
        <v>1.3</v>
      </c>
    </row>
    <row r="46" spans="1:10" x14ac:dyDescent="0.25">
      <c r="A46" s="3" t="str">
        <f>CLEAN("CRAWFORD")</f>
        <v>CRAWFORD</v>
      </c>
      <c r="B46" s="6" t="str">
        <f>CLEAN("5170-03-68")</f>
        <v>5170-03-68</v>
      </c>
      <c r="C46" s="6" t="str">
        <f>CLEAN("5170-03-68")</f>
        <v>5170-03-68</v>
      </c>
      <c r="D46" s="6">
        <v>2020</v>
      </c>
      <c r="E46" s="6" t="str">
        <f>CLEAN("STH-082")</f>
        <v>STH-082</v>
      </c>
      <c r="F46" s="4">
        <v>43855</v>
      </c>
      <c r="G46" s="3" t="str">
        <f>CLEAN("LANSING BRIDGE REPAIRS")</f>
        <v>LANSING BRIDGE REPAIRS</v>
      </c>
      <c r="H46" s="3" t="str">
        <f>CLEAN("B-12-0009 AT WISC/IOWA LINE")</f>
        <v>B-12-0009 AT WISC/IOWA LINE</v>
      </c>
      <c r="I46" s="3" t="str">
        <f>CLEAN("MIS-FRAME STRAIGHTEN&amp;REPAIR BEARING")</f>
        <v>MIS-FRAME STRAIGHTEN&amp;REPAIR BEARING</v>
      </c>
      <c r="J46" s="3">
        <v>0.01</v>
      </c>
    </row>
    <row r="47" spans="1:10" x14ac:dyDescent="0.25">
      <c r="A47" s="3" t="str">
        <f>CLEAN("CRAWFORD")</f>
        <v>CRAWFORD</v>
      </c>
      <c r="B47" s="6" t="str">
        <f>CLEAN("5170-16-01")</f>
        <v>5170-16-01</v>
      </c>
      <c r="C47" s="6" t="str">
        <f>CLEAN("5170-16-01")</f>
        <v>5170-16-01</v>
      </c>
      <c r="D47" s="6">
        <v>2020</v>
      </c>
      <c r="E47" s="6" t="str">
        <f>CLEAN("STH-082")</f>
        <v>STH-082</v>
      </c>
      <c r="F47" s="4">
        <v>43855</v>
      </c>
      <c r="G47" s="3" t="str">
        <f>CLEAN("LANSING BRIDGE")</f>
        <v>LANSING BRIDGE</v>
      </c>
      <c r="H47" s="3" t="str">
        <f>CLEAN("B-12-0009 AT IA/ WI LINE")</f>
        <v>B-12-0009 AT IA/ WI LINE</v>
      </c>
      <c r="I47" s="3" t="str">
        <f>CLEAN("DESIGN/ REIMBURSEMENT TO IOWA")</f>
        <v>DESIGN/ REIMBURSEMENT TO IOWA</v>
      </c>
      <c r="J47" s="3">
        <v>9.5000000000000001E-2</v>
      </c>
    </row>
    <row r="48" spans="1:10" x14ac:dyDescent="0.25">
      <c r="A48" s="3" t="str">
        <f>CLEAN("CRAWFORD")</f>
        <v>CRAWFORD</v>
      </c>
      <c r="B48" s="6" t="str">
        <f>CLEAN("5540-00-02")</f>
        <v>5540-00-02</v>
      </c>
      <c r="C48" s="6" t="str">
        <f>CLEAN("5540-00-70")</f>
        <v>5540-00-70</v>
      </c>
      <c r="D48" s="6">
        <v>2020</v>
      </c>
      <c r="E48" s="6" t="str">
        <f>CLEAN("STH-027")</f>
        <v>STH-027</v>
      </c>
      <c r="F48" s="4">
        <v>43935</v>
      </c>
      <c r="G48" s="3" t="str">
        <f>CLEAN("C PRAIRIE DU CHIEN  E BLACKHAWK AVE")</f>
        <v>C PRAIRIE DU CHIEN  E BLACKHAWK AVE</v>
      </c>
      <c r="H48" s="3" t="str">
        <f>CLEAN("OHIO ST TO SAINT LO DRIVE")</f>
        <v>OHIO ST TO SAINT LO DRIVE</v>
      </c>
      <c r="I48" s="3" t="str">
        <f>CLEAN("CONSTRUCTION/ MILL &amp; OVERLAY")</f>
        <v>CONSTRUCTION/ MILL &amp; OVERLAY</v>
      </c>
      <c r="J48" s="3">
        <v>0.33300000000000002</v>
      </c>
    </row>
    <row r="49" spans="1:10" x14ac:dyDescent="0.25">
      <c r="A49" s="3" t="str">
        <f>CLEAN("CRAWFORD")</f>
        <v>CRAWFORD</v>
      </c>
      <c r="B49" s="6" t="str">
        <f>CLEAN("5540-00-31")</f>
        <v>5540-00-31</v>
      </c>
      <c r="C49" s="6" t="str">
        <f>CLEAN("5540-00-60")</f>
        <v>5540-00-60</v>
      </c>
      <c r="D49" s="6">
        <v>2020</v>
      </c>
      <c r="E49" s="6" t="str">
        <f>CLEAN("STH-027")</f>
        <v>STH-027</v>
      </c>
      <c r="F49" s="4">
        <v>43935</v>
      </c>
      <c r="G49" s="3" t="str">
        <f>CLEAN("PRAIRIE DU CHIEN - MT STERLING")</f>
        <v>PRAIRIE DU CHIEN - MT STERLING</v>
      </c>
      <c r="H49" s="3" t="str">
        <f>CLEAN("SAINT LO DRIVE TO CIPRA RD")</f>
        <v>SAINT LO DRIVE TO CIPRA RD</v>
      </c>
      <c r="I49" s="3" t="str">
        <f>CLEAN("CONSTRUCTION/ MILL &amp; OVERLAY")</f>
        <v>CONSTRUCTION/ MILL &amp; OVERLAY</v>
      </c>
      <c r="J49" s="3">
        <v>2.0950000000000002</v>
      </c>
    </row>
    <row r="50" spans="1:10" x14ac:dyDescent="0.25">
      <c r="A50" s="3" t="str">
        <f>CLEAN("CRAWFORD")</f>
        <v>CRAWFORD</v>
      </c>
      <c r="B50" s="6" t="str">
        <f>CLEAN("1660-03-38")</f>
        <v>1660-03-38</v>
      </c>
      <c r="C50" s="6" t="str">
        <f>CLEAN("1660-03-62")</f>
        <v>1660-03-62</v>
      </c>
      <c r="D50" s="6">
        <v>2021</v>
      </c>
      <c r="E50" s="6" t="str">
        <f>CLEAN("USH-018")</f>
        <v>USH-018</v>
      </c>
      <c r="F50" s="4">
        <v>44082</v>
      </c>
      <c r="G50" s="3" t="str">
        <f>CLEAN("MARQUETTE - PRAIRIE DU CHIEN")</f>
        <v>MARQUETTE - PRAIRIE DU CHIEN</v>
      </c>
      <c r="H50" s="3" t="str">
        <f>CLEAN("MISSISSIPPI RVR STRUC B-12-29 -30")</f>
        <v>MISSISSIPPI RVR STRUC B-12-29 -30</v>
      </c>
      <c r="I50" s="3" t="str">
        <f>CLEAN("CONST/DECK REHAB PAINTING REPAIRS")</f>
        <v>CONST/DECK REHAB PAINTING REPAIRS</v>
      </c>
      <c r="J50" s="3">
        <v>0.36</v>
      </c>
    </row>
    <row r="51" spans="1:10" x14ac:dyDescent="0.25">
      <c r="A51" s="3" t="str">
        <f>CLEAN("CRAWFORD")</f>
        <v>CRAWFORD</v>
      </c>
      <c r="B51" s="6" t="str">
        <f>CLEAN("5160-07-00")</f>
        <v>5160-07-00</v>
      </c>
      <c r="C51" s="6" t="str">
        <f>CLEAN("5160-07-70")</f>
        <v>5160-07-70</v>
      </c>
      <c r="D51" s="6">
        <v>2022</v>
      </c>
      <c r="E51" s="6" t="str">
        <f>CLEAN("STH-035")</f>
        <v>STH-035</v>
      </c>
      <c r="F51" s="4">
        <v>44544</v>
      </c>
      <c r="G51" s="3" t="str">
        <f>CLEAN("PRAIRIE DU CHIEN - FERRYVILLE")</f>
        <v>PRAIRIE DU CHIEN - FERRYVILLE</v>
      </c>
      <c r="H51" s="3" t="str">
        <f>CLEAN("CTH N TO CTH E")</f>
        <v>CTH N TO CTH E</v>
      </c>
      <c r="I51" s="3" t="str">
        <f>CLEAN("CONST/ MILL AND OVERLAY")</f>
        <v>CONST/ MILL AND OVERLAY</v>
      </c>
      <c r="J51" s="3">
        <v>9.92</v>
      </c>
    </row>
    <row r="52" spans="1:10" x14ac:dyDescent="0.25">
      <c r="A52" s="3" t="str">
        <f>CLEAN("CRAWFORD")</f>
        <v>CRAWFORD</v>
      </c>
      <c r="B52" s="6" t="str">
        <f>CLEAN("1661-09-02")</f>
        <v>1661-09-02</v>
      </c>
      <c r="C52" s="6" t="str">
        <f>CLEAN("1661-09-72")</f>
        <v>1661-09-72</v>
      </c>
      <c r="D52" s="6">
        <v>2022</v>
      </c>
      <c r="E52" s="6" t="str">
        <f>CLEAN("USH-018")</f>
        <v>USH-018</v>
      </c>
      <c r="F52" s="4">
        <v>44628</v>
      </c>
      <c r="G52" s="3" t="str">
        <f>CLEAN("PRAIRIE DU CHIEN - FENNIMORE")</f>
        <v>PRAIRIE DU CHIEN - FENNIMORE</v>
      </c>
      <c r="H52" s="3" t="str">
        <f>CLEAN("SOUTH TOWN LN/SELCH RD INTERSECTION")</f>
        <v>SOUTH TOWN LN/SELCH RD INTERSECTION</v>
      </c>
      <c r="I52" s="3" t="str">
        <f>CLEAN("CONST/OFFSET LT TURN LNS/MONOTUBES")</f>
        <v>CONST/OFFSET LT TURN LNS/MONOTUBES</v>
      </c>
      <c r="J52" s="3">
        <v>0.123</v>
      </c>
    </row>
    <row r="53" spans="1:10" x14ac:dyDescent="0.25">
      <c r="A53" s="3" t="str">
        <f>CLEAN("CRAWFORD")</f>
        <v>CRAWFORD</v>
      </c>
      <c r="B53" s="6" t="str">
        <f>CLEAN("5870-02-01")</f>
        <v>5870-02-01</v>
      </c>
      <c r="C53" s="6" t="str">
        <f>CLEAN("5870-02-81")</f>
        <v>5870-02-81</v>
      </c>
      <c r="D53" s="6">
        <v>2023</v>
      </c>
      <c r="E53" s="6" t="str">
        <f>CLEAN("STH-179")</f>
        <v>STH-179</v>
      </c>
      <c r="F53" s="4">
        <v>44873</v>
      </c>
      <c r="G53" s="3" t="str">
        <f>CLEAN("EASTMAN - STEUBEN")</f>
        <v>EASTMAN - STEUBEN</v>
      </c>
      <c r="H53" s="3" t="str">
        <f>CLEAN("KICKAPOO RIVER BRIDGE")</f>
        <v>KICKAPOO RIVER BRIDGE</v>
      </c>
      <c r="I53" s="3" t="str">
        <f>CLEAN("CONST/BRIDGE REPLACEMENT B-12-XXX")</f>
        <v>CONST/BRIDGE REPLACEMENT B-12-XXX</v>
      </c>
      <c r="J53" s="3">
        <v>0.16400000000000001</v>
      </c>
    </row>
    <row r="54" spans="1:10" x14ac:dyDescent="0.25">
      <c r="A54" s="3" t="str">
        <f>CLEAN("CRAWFORD")</f>
        <v>CRAWFORD</v>
      </c>
      <c r="B54" s="6" t="str">
        <f>CLEAN("5170-16-01")</f>
        <v>5170-16-01</v>
      </c>
      <c r="C54" s="6" t="str">
        <f>CLEAN("5170-16-81")</f>
        <v>5170-16-81</v>
      </c>
      <c r="D54" s="6">
        <v>2023</v>
      </c>
      <c r="E54" s="6" t="str">
        <f>CLEAN("STH-082")</f>
        <v>STH-082</v>
      </c>
      <c r="F54" s="4">
        <v>45041</v>
      </c>
      <c r="G54" s="3" t="str">
        <f>CLEAN("LANSING BRIDGE")</f>
        <v>LANSING BRIDGE</v>
      </c>
      <c r="H54" s="3" t="str">
        <f>CLEAN("B-12-XXXX AT IA/ WI STATE LINE")</f>
        <v>B-12-XXXX AT IA/ WI STATE LINE</v>
      </c>
      <c r="I54" s="3" t="str">
        <f>CLEAN("CONST/ REIMBURSEMENT TO IOWA DOT")</f>
        <v>CONST/ REIMBURSEMENT TO IOWA DOT</v>
      </c>
      <c r="J54" s="3">
        <v>0.43</v>
      </c>
    </row>
    <row r="55" spans="1:10" x14ac:dyDescent="0.25">
      <c r="A55" s="3" t="str">
        <f>CLEAN("CRAWFORD")</f>
        <v>CRAWFORD</v>
      </c>
      <c r="B55" s="6" t="str">
        <f>CLEAN("5180-00-00")</f>
        <v>5180-00-00</v>
      </c>
      <c r="C55" s="6" t="str">
        <f>CLEAN("5180-00-70")</f>
        <v>5180-00-70</v>
      </c>
      <c r="D55" s="6">
        <v>2024</v>
      </c>
      <c r="E55" s="6" t="str">
        <f>CLEAN("STH-060")</f>
        <v>STH-060</v>
      </c>
      <c r="F55" s="4">
        <v>45244</v>
      </c>
      <c r="G55" s="3" t="str">
        <f>CLEAN("BRIDGEPORT - BOSCOBEL")</f>
        <v>BRIDGEPORT - BOSCOBEL</v>
      </c>
      <c r="H55" s="3" t="str">
        <f>CLEAN("E JCT OLD HWY 60 TO KICKAPOO RIVER")</f>
        <v>E JCT OLD HWY 60 TO KICKAPOO RIVER</v>
      </c>
      <c r="I55" s="3" t="str">
        <f>CLEAN("CONST/ MILL AND OVERLAY")</f>
        <v>CONST/ MILL AND OVERLAY</v>
      </c>
      <c r="J55" s="3">
        <v>10.981999999999999</v>
      </c>
    </row>
    <row r="56" spans="1:10" x14ac:dyDescent="0.25">
      <c r="A56" s="3" t="str">
        <f>CLEAN("CRAWFORD")</f>
        <v>CRAWFORD</v>
      </c>
      <c r="B56" s="6" t="str">
        <f>CLEAN("5180-00-00")</f>
        <v>5180-00-00</v>
      </c>
      <c r="C56" s="6" t="str">
        <f>CLEAN("5180-00-71")</f>
        <v>5180-00-71</v>
      </c>
      <c r="D56" s="6">
        <v>2024</v>
      </c>
      <c r="E56" s="6" t="str">
        <f>CLEAN("STH-060")</f>
        <v>STH-060</v>
      </c>
      <c r="F56" s="4">
        <v>45244</v>
      </c>
      <c r="G56" s="3" t="str">
        <f>CLEAN("BRIDGEPORT - BOSCOBEL")</f>
        <v>BRIDGEPORT - BOSCOBEL</v>
      </c>
      <c r="H56" s="3" t="str">
        <f>CLEAN("E JCT OLD HWY 60 TO KICKAPOO RIVER")</f>
        <v>E JCT OLD HWY 60 TO KICKAPOO RIVER</v>
      </c>
      <c r="I56" s="3" t="str">
        <f>CLEAN("CONST/SANITARY WATER")</f>
        <v>CONST/SANITARY WATER</v>
      </c>
      <c r="J56" s="3">
        <v>10.981999999999999</v>
      </c>
    </row>
    <row r="57" spans="1:10" x14ac:dyDescent="0.25">
      <c r="A57" s="3" t="str">
        <f>CLEAN("CRAWFORD")</f>
        <v>CRAWFORD</v>
      </c>
      <c r="B57" s="6" t="str">
        <f>CLEAN("5540-02-01")</f>
        <v>5540-02-01</v>
      </c>
      <c r="C57" s="6" t="str">
        <f>CLEAN("5540-02-71")</f>
        <v>5540-02-71</v>
      </c>
      <c r="D57" s="6">
        <v>2024</v>
      </c>
      <c r="E57" s="6" t="str">
        <f>CLEAN("STH-027")</f>
        <v>STH-027</v>
      </c>
      <c r="F57" s="4">
        <v>45244</v>
      </c>
      <c r="G57" s="3" t="str">
        <f>CLEAN("PRAIRIE DU CHIEN - VIROQUA")</f>
        <v>PRAIRIE DU CHIEN - VIROQUA</v>
      </c>
      <c r="H57" s="3" t="str">
        <f>CLEAN("0.1 MI N NORTH AVENUE TO CTH C")</f>
        <v>0.1 MI N NORTH AVENUE TO CTH C</v>
      </c>
      <c r="I57" s="3" t="str">
        <f>CLEAN("CONST/ MILL AND OVERLAY")</f>
        <v>CONST/ MILL AND OVERLAY</v>
      </c>
      <c r="J57" s="3">
        <v>8.5069999999999997</v>
      </c>
    </row>
    <row r="58" spans="1:10" x14ac:dyDescent="0.25">
      <c r="A58" s="3" t="str">
        <f>CLEAN("CRAWFORD")</f>
        <v>CRAWFORD</v>
      </c>
      <c r="B58" s="6" t="str">
        <f>CLEAN("5780-03-01")</f>
        <v>5780-03-01</v>
      </c>
      <c r="C58" s="6" t="str">
        <f>CLEAN("5780-03-81")</f>
        <v>5780-03-81</v>
      </c>
      <c r="D58" s="6">
        <v>2024</v>
      </c>
      <c r="E58" s="6" t="str">
        <f>CLEAN("STH-131")</f>
        <v>STH-131</v>
      </c>
      <c r="F58" s="4">
        <v>45244</v>
      </c>
      <c r="G58" s="3" t="str">
        <f>CLEAN("WAUZEKA - SOLDIERS GROVE")</f>
        <v>WAUZEKA - SOLDIERS GROVE</v>
      </c>
      <c r="H58" s="3" t="str">
        <f>CLEAN("BR KICKAPOO R BDGS B-12-196/197/198")</f>
        <v>BR KICKAPOO R BDGS B-12-196/197/198</v>
      </c>
      <c r="I58" s="3" t="str">
        <f>CLEAN("CONST/ BRIDGE REPLACEMENTS")</f>
        <v>CONST/ BRIDGE REPLACEMENTS</v>
      </c>
      <c r="J58" s="3">
        <v>1.1499999999999999</v>
      </c>
    </row>
    <row r="59" spans="1:10" x14ac:dyDescent="0.25">
      <c r="A59" s="3" t="str">
        <f>CLEAN("CRAWFORD")</f>
        <v>CRAWFORD</v>
      </c>
      <c r="B59" s="6" t="str">
        <f>CLEAN("5780-03-02")</f>
        <v>5780-03-02</v>
      </c>
      <c r="C59" s="6" t="str">
        <f>CLEAN("5780-03-72")</f>
        <v>5780-03-72</v>
      </c>
      <c r="D59" s="6">
        <v>2025</v>
      </c>
      <c r="E59" s="6" t="str">
        <f>CLEAN("STH-131")</f>
        <v>STH-131</v>
      </c>
      <c r="F59" s="4">
        <v>45608</v>
      </c>
      <c r="G59" s="3" t="str">
        <f>CLEAN("WAUZEKA - SOLDIERS GROVE")</f>
        <v>WAUZEKA - SOLDIERS GROVE</v>
      </c>
      <c r="H59" s="3" t="str">
        <f>CLEAN("SUNNY RIDGE ROAD TO PLEASANT STREET")</f>
        <v>SUNNY RIDGE ROAD TO PLEASANT STREET</v>
      </c>
      <c r="I59" s="3" t="str">
        <f>CLEAN("CONST/ MILL AND OVERLAY")</f>
        <v>CONST/ MILL AND OVERLAY</v>
      </c>
      <c r="J59" s="3">
        <v>14.461</v>
      </c>
    </row>
    <row r="60" spans="1:10" x14ac:dyDescent="0.25">
      <c r="A60" s="3" t="str">
        <f>CLEAN("CRAWFORD")</f>
        <v>CRAWFORD</v>
      </c>
      <c r="B60" s="6" t="str">
        <f>CLEAN("5780-03-31")</f>
        <v>5780-03-31</v>
      </c>
      <c r="C60" s="6" t="str">
        <f>CLEAN("5780-03-61")</f>
        <v>5780-03-61</v>
      </c>
      <c r="D60" s="6">
        <v>2025</v>
      </c>
      <c r="E60" s="6" t="str">
        <f>CLEAN("STH-131")</f>
        <v>STH-131</v>
      </c>
      <c r="F60" s="4">
        <v>45608</v>
      </c>
      <c r="G60" s="3" t="str">
        <f>CLEAN("WAUZEKA - SOLDIERS GROVE")</f>
        <v>WAUZEKA - SOLDIERS GROVE</v>
      </c>
      <c r="H60" s="3" t="str">
        <f>CLEAN("STH 60 TO SUNNY RIDGE RD B12-XXX")</f>
        <v>STH 60 TO SUNNY RIDGE RD B12-XXX</v>
      </c>
      <c r="I60" s="3" t="str">
        <f>CLEAN("CONST/MILL &amp; O'LAY RPLC B12-XXX XXX")</f>
        <v>CONST/MILL &amp; O'LAY RPLC B12-XXX XXX</v>
      </c>
      <c r="J60" s="3">
        <v>12.009</v>
      </c>
    </row>
    <row r="61" spans="1:10" x14ac:dyDescent="0.25">
      <c r="A61" s="3" t="str">
        <f>CLEAN("CRAWFORD")</f>
        <v>CRAWFORD</v>
      </c>
      <c r="B61" s="6" t="str">
        <f>CLEAN("5790-01-00")</f>
        <v>5790-01-00</v>
      </c>
      <c r="C61" s="6" t="str">
        <f>CLEAN("5790-01-80")</f>
        <v>5790-01-80</v>
      </c>
      <c r="D61" s="6">
        <v>2025</v>
      </c>
      <c r="E61" s="6" t="str">
        <f>CLEAN("STH-171")</f>
        <v>STH-171</v>
      </c>
      <c r="F61" s="4">
        <v>45608</v>
      </c>
      <c r="G61" s="3" t="str">
        <f>CLEAN("FERRYVILLE - ROLLING GROUND")</f>
        <v>FERRYVILLE - ROLLING GROUND</v>
      </c>
      <c r="H61" s="3" t="str">
        <f>CLEAN("FLOWING STREAM STRUCTURE C-12-XXXX")</f>
        <v>FLOWING STREAM STRUCTURE C-12-XXXX</v>
      </c>
      <c r="I61" s="3" t="str">
        <f>CLEAN("CONST/ CULVERT REPLACEMENT")</f>
        <v>CONST/ CULVERT REPLACEMENT</v>
      </c>
      <c r="J61" s="3">
        <v>5.0999999999999997E-2</v>
      </c>
    </row>
    <row r="62" spans="1:10" x14ac:dyDescent="0.25">
      <c r="A62" s="3"/>
      <c r="B62" s="6"/>
      <c r="C62" s="6"/>
      <c r="D62" s="6"/>
      <c r="E62" s="6"/>
      <c r="F62" s="4"/>
      <c r="G62" s="3"/>
      <c r="H62" s="3"/>
      <c r="I62" s="3"/>
      <c r="J62" s="3"/>
    </row>
    <row r="63" spans="1:10" x14ac:dyDescent="0.25">
      <c r="A63" s="3" t="str">
        <f>CLEAN("DANE")</f>
        <v>DANE</v>
      </c>
      <c r="B63" s="6" t="str">
        <f>CLEAN("1003-10-01")</f>
        <v>1003-10-01</v>
      </c>
      <c r="C63" s="6" t="str">
        <f>CLEAN("1007-10-70")</f>
        <v>1007-10-70</v>
      </c>
      <c r="D63" s="6">
        <v>2013</v>
      </c>
      <c r="E63" s="6" t="str">
        <f>CLEAN("IH -039")</f>
        <v>IH -039</v>
      </c>
      <c r="F63" s="4">
        <v>41408</v>
      </c>
      <c r="G63" s="3" t="str">
        <f>CLEAN("ILLINOIS STATE LINE - MADISON")</f>
        <v>ILLINOIS STATE LINE - MADISON</v>
      </c>
      <c r="H63" s="3" t="str">
        <f>CLEAN("SOUTH DANE COUNTY LINE TO USH 12/18")</f>
        <v>SOUTH DANE COUNTY LINE TO USH 12/18</v>
      </c>
      <c r="I63" s="3" t="str">
        <f>CLEAN("EARLY ITS COMMUNICATIONS NORTH SEG")</f>
        <v>EARLY ITS COMMUNICATIONS NORTH SEG</v>
      </c>
      <c r="J63" s="3">
        <v>0</v>
      </c>
    </row>
    <row r="64" spans="1:10" x14ac:dyDescent="0.25">
      <c r="A64" s="3" t="str">
        <f>CLEAN("DANE")</f>
        <v>DANE</v>
      </c>
      <c r="B64" s="6" t="str">
        <f>CLEAN("1003-10-01")</f>
        <v>1003-10-01</v>
      </c>
      <c r="C64" s="6" t="str">
        <f>CLEAN("1007-11-72")</f>
        <v>1007-11-72</v>
      </c>
      <c r="D64" s="6">
        <v>2013</v>
      </c>
      <c r="E64" s="6" t="str">
        <f>CLEAN("IH -039")</f>
        <v>IH -039</v>
      </c>
      <c r="F64" s="4">
        <v>41450</v>
      </c>
      <c r="G64" s="3" t="str">
        <f>CLEAN("ILLINOIS STATE LINE - MADISON")</f>
        <v>ILLINOIS STATE LINE - MADISON</v>
      </c>
      <c r="H64" s="3" t="str">
        <f>CLEAN("SOUTH DANE COUNTY LINE TO USH 12/18")</f>
        <v>SOUTH DANE COUNTY LINE TO USH 12/18</v>
      </c>
      <c r="I64" s="3" t="str">
        <f>CLEAN("ITS PO ITEMS FOR NORTH SEG FY 2013")</f>
        <v>ITS PO ITEMS FOR NORTH SEG FY 2013</v>
      </c>
      <c r="J64" s="3">
        <v>20.73</v>
      </c>
    </row>
    <row r="65" spans="1:10" x14ac:dyDescent="0.25">
      <c r="A65" s="3" t="str">
        <f>CLEAN("DANE")</f>
        <v>DANE</v>
      </c>
      <c r="B65" s="6" t="str">
        <f>CLEAN("1003-10-01")</f>
        <v>1003-10-01</v>
      </c>
      <c r="C65" s="6" t="str">
        <f>CLEAN("1007-11-73")</f>
        <v>1007-11-73</v>
      </c>
      <c r="D65" s="6">
        <v>2014</v>
      </c>
      <c r="E65" s="6" t="str">
        <f>CLEAN("IH -039")</f>
        <v>IH -039</v>
      </c>
      <c r="F65" s="4">
        <v>41511</v>
      </c>
      <c r="G65" s="3" t="str">
        <f>CLEAN("ILLINOIS STATE LINE - MADISON")</f>
        <v>ILLINOIS STATE LINE - MADISON</v>
      </c>
      <c r="H65" s="3" t="str">
        <f>CLEAN("SOUTH DANE COUNTY LINE TO USH 12/18")</f>
        <v>SOUTH DANE COUNTY LINE TO USH 12/18</v>
      </c>
      <c r="I65" s="3" t="str">
        <f>CLEAN("ITS PO N SEG 1007-10-70 FY 2014")</f>
        <v>ITS PO N SEG 1007-10-70 FY 2014</v>
      </c>
      <c r="J65" s="3">
        <v>0</v>
      </c>
    </row>
    <row r="66" spans="1:10" x14ac:dyDescent="0.25">
      <c r="A66" s="3" t="str">
        <f>CLEAN("DANE")</f>
        <v>DANE</v>
      </c>
      <c r="B66" s="6" t="str">
        <f>CLEAN("1007-10-01")</f>
        <v>1007-10-01</v>
      </c>
      <c r="C66" s="6" t="str">
        <f>CLEAN("1007-10-71")</f>
        <v>1007-10-71</v>
      </c>
      <c r="D66" s="6">
        <v>2014</v>
      </c>
      <c r="E66" s="6" t="str">
        <f>CLEAN("IH -039")</f>
        <v>IH -039</v>
      </c>
      <c r="F66" s="4">
        <v>41709</v>
      </c>
      <c r="G66" s="3" t="str">
        <f>CLEAN("ILLINOIS STATE LINE - MADISON")</f>
        <v>ILLINOIS STATE LINE - MADISON</v>
      </c>
      <c r="H66" s="3" t="str">
        <f>CLEAN("SIGGELKOW RD BRDGS B-13-0138/0727")</f>
        <v>SIGGELKOW RD BRDGS B-13-0138/0727</v>
      </c>
      <c r="I66" s="3" t="str">
        <f>CLEAN("CONST OPS/BRIDGE REHAB/REPLACEMENT")</f>
        <v>CONST OPS/BRIDGE REHAB/REPLACEMENT</v>
      </c>
      <c r="J66" s="3">
        <v>7.5999999999999998E-2</v>
      </c>
    </row>
    <row r="67" spans="1:10" x14ac:dyDescent="0.25">
      <c r="A67" s="3" t="str">
        <f>CLEAN("DANE")</f>
        <v>DANE</v>
      </c>
      <c r="B67" s="6" t="str">
        <f>CLEAN("1007-10-01")</f>
        <v>1007-10-01</v>
      </c>
      <c r="C67" s="6" t="str">
        <f>CLEAN("1007-10-72")</f>
        <v>1007-10-72</v>
      </c>
      <c r="D67" s="6">
        <v>2015</v>
      </c>
      <c r="E67" s="6" t="str">
        <f>CLEAN("IH -039")</f>
        <v>IH -039</v>
      </c>
      <c r="F67" s="4">
        <v>42073</v>
      </c>
      <c r="G67" s="3" t="str">
        <f>CLEAN("ILLINOIS STATE LINE  - MADISON")</f>
        <v>ILLINOIS STATE LINE  - MADISON</v>
      </c>
      <c r="H67" s="3" t="str">
        <f>CLEAN("USH 51/STH 73 INTERCHANGE")</f>
        <v>USH 51/STH 73 INTERCHANGE</v>
      </c>
      <c r="I67" s="3" t="str">
        <f>CLEAN("CONST OPS/INTERCHANGE IMPROVEMENTS")</f>
        <v>CONST OPS/INTERCHANGE IMPROVEMENTS</v>
      </c>
      <c r="J67" s="3">
        <v>0</v>
      </c>
    </row>
    <row r="68" spans="1:10" x14ac:dyDescent="0.25">
      <c r="A68" s="3" t="str">
        <f>CLEAN("DANE")</f>
        <v>DANE</v>
      </c>
      <c r="B68" s="6" t="str">
        <f>CLEAN("1007-10-01")</f>
        <v>1007-10-01</v>
      </c>
      <c r="C68" s="6" t="str">
        <f>CLEAN("1007-10-94")</f>
        <v>1007-10-94</v>
      </c>
      <c r="D68" s="6">
        <v>2015</v>
      </c>
      <c r="E68" s="6" t="str">
        <f>CLEAN("IH -039")</f>
        <v>IH -039</v>
      </c>
      <c r="F68" s="4">
        <v>42149</v>
      </c>
      <c r="G68" s="3" t="str">
        <f>CLEAN("ILLINOIS STATE LINE - MADISON")</f>
        <v>ILLINOIS STATE LINE - MADISON</v>
      </c>
      <c r="H68" s="3" t="str">
        <f>CLEAN("USH 51/STH 73 INTERCHANGE")</f>
        <v>USH 51/STH 73 INTERCHANGE</v>
      </c>
      <c r="I68" s="3" t="str">
        <f>CLEAN("FST/1007-10-72/FY 2015")</f>
        <v>FST/1007-10-72/FY 2015</v>
      </c>
      <c r="J68" s="3">
        <v>0</v>
      </c>
    </row>
    <row r="69" spans="1:10" x14ac:dyDescent="0.25">
      <c r="A69" s="3" t="str">
        <f>CLEAN("DANE")</f>
        <v>DANE</v>
      </c>
      <c r="B69" s="6" t="str">
        <f>CLEAN("1007-10-01")</f>
        <v>1007-10-01</v>
      </c>
      <c r="C69" s="6" t="str">
        <f>CLEAN("1007-11-77")</f>
        <v>1007-11-77</v>
      </c>
      <c r="D69" s="6">
        <v>2015</v>
      </c>
      <c r="E69" s="6" t="str">
        <f>CLEAN("IH -039")</f>
        <v>IH -039</v>
      </c>
      <c r="F69" s="4">
        <v>42180</v>
      </c>
      <c r="G69" s="3" t="str">
        <f>CLEAN("ILLINOIS STATE LINE - MADISON")</f>
        <v>ILLINOIS STATE LINE - MADISON</v>
      </c>
      <c r="H69" s="3" t="str">
        <f>CLEAN("USH 51/STH 73 INTERCHANGE")</f>
        <v>USH 51/STH 73 INTERCHANGE</v>
      </c>
      <c r="I69" s="3" t="str">
        <f>CLEAN("ITS PO 1007-10-72/FY 2015")</f>
        <v>ITS PO 1007-10-72/FY 2015</v>
      </c>
      <c r="J69" s="3">
        <v>0</v>
      </c>
    </row>
    <row r="70" spans="1:10" x14ac:dyDescent="0.25">
      <c r="A70" s="3" t="str">
        <f>CLEAN("DANE")</f>
        <v>DANE</v>
      </c>
      <c r="B70" s="6" t="str">
        <f>CLEAN("1007-10-01")</f>
        <v>1007-10-01</v>
      </c>
      <c r="C70" s="6" t="str">
        <f>CLEAN("1007-10-75")</f>
        <v>1007-10-75</v>
      </c>
      <c r="D70" s="6">
        <v>2015</v>
      </c>
      <c r="E70" s="6" t="str">
        <f>CLEAN("IH -039")</f>
        <v>IH -039</v>
      </c>
      <c r="F70" s="4">
        <v>42199</v>
      </c>
      <c r="G70" s="3" t="str">
        <f>CLEAN("ILLINOIS STATE LINE - MADISON")</f>
        <v>ILLINOIS STATE LINE - MADISON</v>
      </c>
      <c r="H70" s="3" t="str">
        <f>CLEAN("CTH A BRIDGE B-13-0709")</f>
        <v>CTH A BRIDGE B-13-0709</v>
      </c>
      <c r="I70" s="3" t="str">
        <f>CLEAN("CONST OPS/BRIDGE REPLACEMENT")</f>
        <v>CONST OPS/BRIDGE REPLACEMENT</v>
      </c>
      <c r="J70" s="3">
        <v>0</v>
      </c>
    </row>
    <row r="71" spans="1:10" x14ac:dyDescent="0.25">
      <c r="A71" s="3" t="str">
        <f>CLEAN("DANE")</f>
        <v>DANE</v>
      </c>
      <c r="B71" s="6" t="str">
        <f>CLEAN("1007-10-01")</f>
        <v>1007-10-01</v>
      </c>
      <c r="C71" s="6" t="str">
        <f>CLEAN("1007-10-76")</f>
        <v>1007-10-76</v>
      </c>
      <c r="D71" s="6">
        <v>2015</v>
      </c>
      <c r="E71" s="6" t="str">
        <f>CLEAN("IH -039")</f>
        <v>IH -039</v>
      </c>
      <c r="F71" s="4">
        <v>42199</v>
      </c>
      <c r="G71" s="3" t="str">
        <f>CLEAN("ILLINOIS STATE LINE - MADISON")</f>
        <v>ILLINOIS STATE LINE - MADISON</v>
      </c>
      <c r="H71" s="3" t="str">
        <f>CLEAN("EDGERTON ROAD BRIDGE B-13-0703")</f>
        <v>EDGERTON ROAD BRIDGE B-13-0703</v>
      </c>
      <c r="I71" s="3" t="str">
        <f>CLEAN("CONST OPS/BRIDGE REPLACEMENT")</f>
        <v>CONST OPS/BRIDGE REPLACEMENT</v>
      </c>
      <c r="J71" s="3">
        <v>0</v>
      </c>
    </row>
    <row r="72" spans="1:10" x14ac:dyDescent="0.25">
      <c r="A72" s="3" t="str">
        <f>CLEAN("DANE")</f>
        <v>DANE</v>
      </c>
      <c r="B72" s="6" t="str">
        <f>CLEAN("1007-10-01")</f>
        <v>1007-10-01</v>
      </c>
      <c r="C72" s="6" t="str">
        <f>CLEAN("1007-10-73")</f>
        <v>1007-10-73</v>
      </c>
      <c r="D72" s="6">
        <v>2016</v>
      </c>
      <c r="E72" s="6" t="str">
        <f>CLEAN("IH -039")</f>
        <v>IH -039</v>
      </c>
      <c r="F72" s="4">
        <v>42409</v>
      </c>
      <c r="G72" s="3" t="str">
        <f>CLEAN("ILLINOIS STATE LINE - MADISON")</f>
        <v>ILLINOIS STATE LINE - MADISON</v>
      </c>
      <c r="H72" s="3" t="str">
        <f>CLEAN("SB BRIDGES/B-13-0707 B-13-0710")</f>
        <v>SB BRIDGES/B-13-0707 B-13-0710</v>
      </c>
      <c r="I72" s="3" t="str">
        <f>CLEAN("CONST OPS/BR REPL EXPANSION")</f>
        <v>CONST OPS/BR REPL EXPANSION</v>
      </c>
      <c r="J72" s="3">
        <v>6.8000000000000005E-2</v>
      </c>
    </row>
    <row r="73" spans="1:10" x14ac:dyDescent="0.25">
      <c r="A73" s="3" t="str">
        <f>CLEAN("DANE")</f>
        <v>DANE</v>
      </c>
      <c r="B73" s="6" t="str">
        <f>CLEAN("1007-10-01")</f>
        <v>1007-10-01</v>
      </c>
      <c r="C73" s="6" t="str">
        <f>CLEAN("1007-10-79")</f>
        <v>1007-10-79</v>
      </c>
      <c r="D73" s="6">
        <v>2016</v>
      </c>
      <c r="E73" s="6" t="str">
        <f>CLEAN("IH -039")</f>
        <v>IH -039</v>
      </c>
      <c r="F73" s="4">
        <v>42409</v>
      </c>
      <c r="G73" s="3" t="str">
        <f>CLEAN("ILLINOIS STATE LINE - MADISON")</f>
        <v>ILLINOIS STATE LINE - MADISON</v>
      </c>
      <c r="H73" s="3" t="str">
        <f>CLEAN("MAPLE GROVE RD TO EAST CHURCH RD")</f>
        <v>MAPLE GROVE RD TO EAST CHURCH RD</v>
      </c>
      <c r="I73" s="3" t="str">
        <f>CLEAN("CON OPS/TEMP STG/STRCT/INTRCH")</f>
        <v>CON OPS/TEMP STG/STRCT/INTRCH</v>
      </c>
      <c r="J73" s="3">
        <v>4.5839999999999996</v>
      </c>
    </row>
    <row r="74" spans="1:10" x14ac:dyDescent="0.25">
      <c r="A74" s="3" t="str">
        <f>CLEAN("DANE")</f>
        <v>DANE</v>
      </c>
      <c r="B74" s="6" t="str">
        <f>CLEAN("1005-10-01")</f>
        <v>1005-10-01</v>
      </c>
      <c r="C74" s="6" t="str">
        <f>CLEAN("1005-10-88")</f>
        <v>1005-10-88</v>
      </c>
      <c r="D74" s="6">
        <v>2016</v>
      </c>
      <c r="E74" s="6" t="str">
        <f>CLEAN("IH -039")</f>
        <v>IH -039</v>
      </c>
      <c r="F74" s="4">
        <v>42485</v>
      </c>
      <c r="G74" s="3" t="str">
        <f>CLEAN("ILLINOIS STATE LINE - MADISON")</f>
        <v>ILLINOIS STATE LINE - MADISON</v>
      </c>
      <c r="H74" s="3" t="str">
        <f>CLEAN("USH 14 - CTH A")</f>
        <v>USH 14 - CTH A</v>
      </c>
      <c r="I74" s="3" t="str">
        <f>CLEAN("SMART WORK ZONE TECH 1005-10-71/72")</f>
        <v>SMART WORK ZONE TECH 1005-10-71/72</v>
      </c>
      <c r="J74" s="3">
        <v>0</v>
      </c>
    </row>
    <row r="75" spans="1:10" x14ac:dyDescent="0.25">
      <c r="A75" s="3" t="str">
        <f>CLEAN("DANE")</f>
        <v>DANE</v>
      </c>
      <c r="B75" s="6" t="str">
        <f>CLEAN("1007-10-01")</f>
        <v>1007-10-01</v>
      </c>
      <c r="C75" s="6" t="str">
        <f>CLEAN("1007-10-78")</f>
        <v>1007-10-78</v>
      </c>
      <c r="D75" s="6">
        <v>2016</v>
      </c>
      <c r="E75" s="6" t="str">
        <f>CLEAN("IH -039")</f>
        <v>IH -039</v>
      </c>
      <c r="F75" s="4">
        <v>42500</v>
      </c>
      <c r="G75" s="3" t="str">
        <f>CLEAN("ILLINOIS STATE LINE - MADISON")</f>
        <v>ILLINOIS STATE LINE - MADISON</v>
      </c>
      <c r="H75" s="3" t="str">
        <f>CLEAN("SOUTH DANE CTY LN TO MAPLE GROVE RD")</f>
        <v>SOUTH DANE CTY LN TO MAPLE GROVE RD</v>
      </c>
      <c r="I75" s="3" t="str">
        <f>CLEAN("CONST OPS/RECST TEMP STAGING/STRUCT")</f>
        <v>CONST OPS/RECST TEMP STAGING/STRUCT</v>
      </c>
      <c r="J75" s="3">
        <v>4.1100000000000003</v>
      </c>
    </row>
    <row r="76" spans="1:10" x14ac:dyDescent="0.25">
      <c r="A76" s="3" t="str">
        <f>CLEAN("DANE")</f>
        <v>DANE</v>
      </c>
      <c r="B76" s="6" t="str">
        <f>CLEAN("1007-10-01")</f>
        <v>1007-10-01</v>
      </c>
      <c r="C76" s="6" t="str">
        <f>CLEAN("1007-10-87")</f>
        <v>1007-10-87</v>
      </c>
      <c r="D76" s="6">
        <v>2016</v>
      </c>
      <c r="E76" s="6" t="str">
        <f>CLEAN("IH -039")</f>
        <v>IH -039</v>
      </c>
      <c r="F76" s="4">
        <v>42500</v>
      </c>
      <c r="G76" s="3" t="str">
        <f>CLEAN("ILLINOIS STATE LINE - MADISON")</f>
        <v>ILLINOIS STATE LINE - MADISON</v>
      </c>
      <c r="H76" s="3" t="str">
        <f>CLEAN("WILLIAMS DR BRIDGE B-13-0721")</f>
        <v>WILLIAMS DR BRIDGE B-13-0721</v>
      </c>
      <c r="I76" s="3" t="str">
        <f>CLEAN("CONST OPS/BRIDGE REPLACEMENT")</f>
        <v>CONST OPS/BRIDGE REPLACEMENT</v>
      </c>
      <c r="J76" s="3">
        <v>0</v>
      </c>
    </row>
    <row r="77" spans="1:10" x14ac:dyDescent="0.25">
      <c r="A77" s="3" t="str">
        <f>CLEAN("DANE")</f>
        <v>DANE</v>
      </c>
      <c r="B77" s="6" t="str">
        <f>CLEAN("1007-10-01")</f>
        <v>1007-10-01</v>
      </c>
      <c r="C77" s="6" t="str">
        <f>CLEAN("1007-10-89")</f>
        <v>1007-10-89</v>
      </c>
      <c r="D77" s="6">
        <v>2016</v>
      </c>
      <c r="E77" s="6" t="str">
        <f>CLEAN("IH -039")</f>
        <v>IH -039</v>
      </c>
      <c r="F77" s="4">
        <v>42500</v>
      </c>
      <c r="G77" s="3" t="str">
        <f>CLEAN("ILLINOIS STATE LINE - MADISON")</f>
        <v>ILLINOIS STATE LINE - MADISON</v>
      </c>
      <c r="H77" s="3" t="str">
        <f>CLEAN("CHURCH ST BRIDGE B-13-0719")</f>
        <v>CHURCH ST BRIDGE B-13-0719</v>
      </c>
      <c r="I77" s="3" t="str">
        <f>CLEAN("CONST OPS/BRIDGE REPLACEMENT")</f>
        <v>CONST OPS/BRIDGE REPLACEMENT</v>
      </c>
      <c r="J77" s="3">
        <v>0</v>
      </c>
    </row>
    <row r="78" spans="1:10" x14ac:dyDescent="0.25">
      <c r="A78" s="3" t="str">
        <f>CLEAN("DANE")</f>
        <v>DANE</v>
      </c>
      <c r="B78" s="6" t="str">
        <f>CLEAN("1007-10-01")</f>
        <v>1007-10-01</v>
      </c>
      <c r="C78" s="6" t="str">
        <f>CLEAN("1007-11-70")</f>
        <v>1007-11-70</v>
      </c>
      <c r="D78" s="6">
        <v>2016</v>
      </c>
      <c r="E78" s="6" t="str">
        <f>CLEAN("IH -039")</f>
        <v>IH -039</v>
      </c>
      <c r="F78" s="4">
        <v>42500</v>
      </c>
      <c r="G78" s="3" t="str">
        <f>CLEAN("ILLINOIS STATE LINE - MADISON")</f>
        <v>ILLINOIS STATE LINE - MADISON</v>
      </c>
      <c r="H78" s="3" t="str">
        <f>CLEAN("CTH BN BRIDGE B-13-0718")</f>
        <v>CTH BN BRIDGE B-13-0718</v>
      </c>
      <c r="I78" s="3" t="str">
        <f>CLEAN("CONST OPS/BRIDGE REPLACEMENT")</f>
        <v>CONST OPS/BRIDGE REPLACEMENT</v>
      </c>
      <c r="J78" s="3">
        <v>0</v>
      </c>
    </row>
    <row r="79" spans="1:10" x14ac:dyDescent="0.25">
      <c r="A79" s="3" t="str">
        <f>CLEAN("DANE")</f>
        <v>DANE</v>
      </c>
      <c r="B79" s="6" t="str">
        <f>CLEAN("1005-10-01")</f>
        <v>1005-10-01</v>
      </c>
      <c r="C79" s="6" t="str">
        <f>CLEAN("1005-10-85")</f>
        <v>1005-10-85</v>
      </c>
      <c r="D79" s="6">
        <v>2016</v>
      </c>
      <c r="E79" s="6" t="str">
        <f>CLEAN("IH -039")</f>
        <v>IH -039</v>
      </c>
      <c r="F79" s="4">
        <v>42546</v>
      </c>
      <c r="G79" s="3" t="str">
        <f>CLEAN("ILLINOIS STATE LINE - MADISON")</f>
        <v>ILLINOIS STATE LINE - MADISON</v>
      </c>
      <c r="H79" s="3" t="str">
        <f>CLEAN("KNUTSON RD TO NORTH ROCK CNTY LINE")</f>
        <v>KNUTSON RD TO NORTH ROCK CNTY LINE</v>
      </c>
      <c r="I79" s="3" t="str">
        <f>CLEAN("ITS PO 1005-10-72/FY 2016")</f>
        <v>ITS PO 1005-10-72/FY 2016</v>
      </c>
      <c r="J79" s="3">
        <v>0</v>
      </c>
    </row>
    <row r="80" spans="1:10" x14ac:dyDescent="0.25">
      <c r="A80" s="3" t="str">
        <f>CLEAN("DANE")</f>
        <v>DANE</v>
      </c>
      <c r="B80" s="6" t="str">
        <f>CLEAN("1007-10-01")</f>
        <v>1007-10-01</v>
      </c>
      <c r="C80" s="6" t="str">
        <f>CLEAN("1007-11-78")</f>
        <v>1007-11-78</v>
      </c>
      <c r="D80" s="6">
        <v>2016</v>
      </c>
      <c r="E80" s="6" t="str">
        <f>CLEAN("IH -039")</f>
        <v>IH -039</v>
      </c>
      <c r="F80" s="4">
        <v>42546</v>
      </c>
      <c r="G80" s="3" t="str">
        <f>CLEAN("ILLINOIS STATE LINE - MADISON")</f>
        <v>ILLINOIS STATE LINE - MADISON</v>
      </c>
      <c r="H80" s="3" t="str">
        <f>CLEAN("MAPLE GROVE RD TO EAST CHURCH RD")</f>
        <v>MAPLE GROVE RD TO EAST CHURCH RD</v>
      </c>
      <c r="I80" s="3" t="str">
        <f>CLEAN("ITS PO 1007-10-79/FY 2016")</f>
        <v>ITS PO 1007-10-79/FY 2016</v>
      </c>
      <c r="J80" s="3">
        <v>0</v>
      </c>
    </row>
    <row r="81" spans="1:10" x14ac:dyDescent="0.25">
      <c r="A81" s="3" t="str">
        <f>CLEAN("DANE")</f>
        <v>DANE</v>
      </c>
      <c r="B81" s="6" t="str">
        <f>CLEAN("1206-07-05")</f>
        <v>1206-07-05</v>
      </c>
      <c r="C81" s="6" t="str">
        <f>CLEAN("1206-07-74")</f>
        <v>1206-07-74</v>
      </c>
      <c r="D81" s="6">
        <v>2016</v>
      </c>
      <c r="E81" s="6" t="str">
        <f>CLEAN("USH-018")</f>
        <v>USH-018</v>
      </c>
      <c r="F81" s="4">
        <v>42563</v>
      </c>
      <c r="G81" s="3" t="str">
        <f>CLEAN("MOUNT HOREB - MADISON")</f>
        <v>MOUNT HOREB - MADISON</v>
      </c>
      <c r="H81" s="3" t="str">
        <f>CLEAN("CTH PD TO RAYMOND RD/STG 2/PHASE 1")</f>
        <v>CTH PD TO RAYMOND RD/STG 2/PHASE 1</v>
      </c>
      <c r="I81" s="3" t="str">
        <f>CLEAN("CONST OPS/RECSTE")</f>
        <v>CONST OPS/RECSTE</v>
      </c>
      <c r="J81" s="3">
        <v>0</v>
      </c>
    </row>
    <row r="82" spans="1:10" x14ac:dyDescent="0.25">
      <c r="A82" s="3" t="str">
        <f>CLEAN("DANE")</f>
        <v>DANE</v>
      </c>
      <c r="B82" s="6" t="str">
        <f>CLEAN("1206-07-05")</f>
        <v>1206-07-05</v>
      </c>
      <c r="C82" s="6" t="str">
        <f>CLEAN("1206-08-74")</f>
        <v>1206-08-74</v>
      </c>
      <c r="D82" s="6">
        <v>2016</v>
      </c>
      <c r="E82" s="6" t="str">
        <f>CLEAN("USH-018")</f>
        <v>USH-018</v>
      </c>
      <c r="F82" s="4">
        <v>42563</v>
      </c>
      <c r="G82" s="3" t="str">
        <f>CLEAN("MOUNT HOREB - MADISON")</f>
        <v>MOUNT HOREB - MADISON</v>
      </c>
      <c r="H82" s="3" t="str">
        <f>CLEAN("CTH PD TO RAYMOND RD (PHASE 1 UTLS)")</f>
        <v>CTH PD TO RAYMOND RD (PHASE 1 UTLS)</v>
      </c>
      <c r="I82" s="3" t="str">
        <f>CLEAN("CONST OPS/SAN SEWER AND WATER MAIN")</f>
        <v>CONST OPS/SAN SEWER AND WATER MAIN</v>
      </c>
      <c r="J82" s="3">
        <v>0</v>
      </c>
    </row>
    <row r="83" spans="1:10" x14ac:dyDescent="0.25">
      <c r="A83" s="3" t="str">
        <f>CLEAN("DANE")</f>
        <v>DANE</v>
      </c>
      <c r="B83" s="6" t="str">
        <f>CLEAN("1007-10-01")</f>
        <v>1007-10-01</v>
      </c>
      <c r="C83" s="6" t="str">
        <f>CLEAN("1007-11-75")</f>
        <v>1007-11-75</v>
      </c>
      <c r="D83" s="6">
        <v>2017</v>
      </c>
      <c r="E83" s="6" t="str">
        <f>CLEAN("IH -039")</f>
        <v>IH -039</v>
      </c>
      <c r="F83" s="4">
        <v>42682</v>
      </c>
      <c r="G83" s="3" t="str">
        <f>CLEAN("ILLINOIS STATE LINE - MADISON")</f>
        <v>ILLINOIS STATE LINE - MADISON</v>
      </c>
      <c r="H83" s="3" t="str">
        <f>CLEAN("S.DANE CTY LINE TO E.CHURCH RD NB")</f>
        <v>S.DANE CTY LINE TO E.CHURCH RD NB</v>
      </c>
      <c r="I83" s="3" t="str">
        <f>CLEAN("CONST OPS/RECSTE PVMNT/STRCT/INTRCH")</f>
        <v>CONST OPS/RECSTE PVMNT/STRCT/INTRCH</v>
      </c>
      <c r="J83" s="3">
        <v>8.5229999999999997</v>
      </c>
    </row>
    <row r="84" spans="1:10" x14ac:dyDescent="0.25">
      <c r="A84" s="3" t="str">
        <f>CLEAN("DANE")</f>
        <v>DANE</v>
      </c>
      <c r="B84" s="6" t="str">
        <f>CLEAN("1007-10-01")</f>
        <v>1007-10-01</v>
      </c>
      <c r="C84" s="6" t="str">
        <f>CLEAN("1007-10-81")</f>
        <v>1007-10-81</v>
      </c>
      <c r="D84" s="6">
        <v>2017</v>
      </c>
      <c r="E84" s="6" t="str">
        <f>CLEAN("IH -039")</f>
        <v>IH -039</v>
      </c>
      <c r="F84" s="4">
        <v>42717</v>
      </c>
      <c r="G84" s="3" t="str">
        <f>CLEAN("ILLINOIS STATE LINE - MADISON")</f>
        <v>ILLINOIS STATE LINE - MADISON</v>
      </c>
      <c r="H84" s="3" t="str">
        <f>CLEAN("CTH AB BRIDGE B-13-0726")</f>
        <v>CTH AB BRIDGE B-13-0726</v>
      </c>
      <c r="I84" s="3" t="str">
        <f>CLEAN("CONST OPS/BRIDGE REPLACEMENT")</f>
        <v>CONST OPS/BRIDGE REPLACEMENT</v>
      </c>
      <c r="J84" s="3">
        <v>0</v>
      </c>
    </row>
    <row r="85" spans="1:10" x14ac:dyDescent="0.25">
      <c r="A85" s="3" t="str">
        <f>CLEAN("DANE")</f>
        <v>DANE</v>
      </c>
      <c r="B85" s="6" t="str">
        <f>CLEAN("1007-10-01")</f>
        <v>1007-10-01</v>
      </c>
      <c r="C85" s="6" t="str">
        <f>CLEAN("1007-10-86")</f>
        <v>1007-10-86</v>
      </c>
      <c r="D85" s="6">
        <v>2017</v>
      </c>
      <c r="E85" s="6" t="str">
        <f>CLEAN("IH -039")</f>
        <v>IH -039</v>
      </c>
      <c r="F85" s="4">
        <v>42808</v>
      </c>
      <c r="G85" s="3" t="str">
        <f>CLEAN("ILLINOIS STATE LINE - MADISON")</f>
        <v>ILLINOIS STATE LINE - MADISON</v>
      </c>
      <c r="H85" s="3" t="str">
        <f>CLEAN("CTH N INTERCHANGE")</f>
        <v>CTH N INTERCHANGE</v>
      </c>
      <c r="I85" s="3" t="str">
        <f>CLEAN("CONST OPS/INTERCHANGE IMPROVEMENTS")</f>
        <v>CONST OPS/INTERCHANGE IMPROVEMENTS</v>
      </c>
      <c r="J85" s="3">
        <v>0</v>
      </c>
    </row>
    <row r="86" spans="1:10" x14ac:dyDescent="0.25">
      <c r="A86" s="3" t="str">
        <f>CLEAN("DANE")</f>
        <v>DANE</v>
      </c>
      <c r="B86" s="6" t="str">
        <f>CLEAN("1007-10-01")</f>
        <v>1007-10-01</v>
      </c>
      <c r="C86" s="6" t="str">
        <f>CLEAN("1007-11-81")</f>
        <v>1007-11-81</v>
      </c>
      <c r="D86" s="6">
        <v>2017</v>
      </c>
      <c r="E86" s="6" t="str">
        <f>CLEAN("IH -039")</f>
        <v>IH -039</v>
      </c>
      <c r="F86" s="4">
        <v>42808</v>
      </c>
      <c r="G86" s="3" t="str">
        <f>CLEAN("ILLINOIS STATE LINE - MADISON")</f>
        <v>ILLINOIS STATE LINE - MADISON</v>
      </c>
      <c r="H86" s="3" t="str">
        <f>CLEAN("CTH N INTERCHANGE AREA")</f>
        <v>CTH N INTERCHANGE AREA</v>
      </c>
      <c r="I86" s="3" t="str">
        <f>CLEAN("CONST OPS/RECSTE")</f>
        <v>CONST OPS/RECSTE</v>
      </c>
      <c r="J86" s="3">
        <v>1.08</v>
      </c>
    </row>
    <row r="87" spans="1:10" x14ac:dyDescent="0.25">
      <c r="A87" s="3" t="str">
        <f>CLEAN("DANE")</f>
        <v>DANE</v>
      </c>
      <c r="B87" s="6" t="str">
        <f>CLEAN("1007-10-01")</f>
        <v>1007-10-01</v>
      </c>
      <c r="C87" s="6" t="str">
        <f>CLEAN("1007-12-91")</f>
        <v>1007-12-91</v>
      </c>
      <c r="D87" s="6">
        <v>2017</v>
      </c>
      <c r="E87" s="6" t="str">
        <f>CLEAN("IH -039")</f>
        <v>IH -039</v>
      </c>
      <c r="F87" s="4">
        <v>42819</v>
      </c>
      <c r="G87" s="3" t="str">
        <f>CLEAN("ILLINOIS STATE LINE - MADISON")</f>
        <v>ILLINOIS STATE LINE - MADISON</v>
      </c>
      <c r="H87" s="3" t="str">
        <f>CLEAN("S. DANE COUNTY LINE - BELTLINE")</f>
        <v>S. DANE COUNTY LINE - BELTLINE</v>
      </c>
      <c r="I87" s="3" t="str">
        <f>CLEAN("FST NORTH SEGMENT/FY 2017")</f>
        <v>FST NORTH SEGMENT/FY 2017</v>
      </c>
      <c r="J87" s="3">
        <v>0</v>
      </c>
    </row>
    <row r="88" spans="1:10" x14ac:dyDescent="0.25">
      <c r="A88" s="3" t="str">
        <f>CLEAN("DANE")</f>
        <v>DANE</v>
      </c>
      <c r="B88" s="6" t="str">
        <f>CLEAN("1007-10-01")</f>
        <v>1007-10-01</v>
      </c>
      <c r="C88" s="6" t="str">
        <f>CLEAN("1007-10-84")</f>
        <v>1007-10-84</v>
      </c>
      <c r="D88" s="6">
        <v>2017</v>
      </c>
      <c r="E88" s="6" t="str">
        <f>CLEAN("IH -039")</f>
        <v>IH -039</v>
      </c>
      <c r="F88" s="4">
        <v>42864</v>
      </c>
      <c r="G88" s="3" t="str">
        <f>CLEAN("ILLINOIS STATE LINE - MADISON")</f>
        <v>ILLINOIS STATE LINE - MADISON</v>
      </c>
      <c r="H88" s="3" t="str">
        <f>CLEAN("CHURCH STREET TO CTH AB")</f>
        <v>CHURCH STREET TO CTH AB</v>
      </c>
      <c r="I88" s="3" t="str">
        <f>CLEAN("CONST OPS/RECSTE TEMP STAGING/STRUC")</f>
        <v>CONST OPS/RECSTE TEMP STAGING/STRUC</v>
      </c>
      <c r="J88" s="3">
        <v>3.3570000000000002</v>
      </c>
    </row>
    <row r="89" spans="1:10" x14ac:dyDescent="0.25">
      <c r="A89" s="3" t="str">
        <f>CLEAN("DANE")</f>
        <v>DANE</v>
      </c>
      <c r="B89" s="6" t="str">
        <f>CLEAN("1007-10-01")</f>
        <v>1007-10-01</v>
      </c>
      <c r="C89" s="6" t="str">
        <f>CLEAN("1007-10-88")</f>
        <v>1007-10-88</v>
      </c>
      <c r="D89" s="6">
        <v>2017</v>
      </c>
      <c r="E89" s="6" t="str">
        <f>CLEAN("IH -039")</f>
        <v>IH -039</v>
      </c>
      <c r="F89" s="4">
        <v>42864</v>
      </c>
      <c r="G89" s="3" t="str">
        <f>CLEAN("ILLINOIS STATE LINE - MADISON")</f>
        <v>ILLINOIS STATE LINE - MADISON</v>
      </c>
      <c r="H89" s="3" t="str">
        <f>CLEAN("EAST CHURCH ROAD TO CHURCH STREET")</f>
        <v>EAST CHURCH ROAD TO CHURCH STREET</v>
      </c>
      <c r="I89" s="3" t="str">
        <f>CLEAN("CONST OPS/RECST TEMP STAGING/STRUCT")</f>
        <v>CONST OPS/RECST TEMP STAGING/STRUCT</v>
      </c>
      <c r="J89" s="3">
        <v>4.7590000000000003</v>
      </c>
    </row>
    <row r="90" spans="1:10" x14ac:dyDescent="0.25">
      <c r="A90" s="3" t="str">
        <f>CLEAN("DANE")</f>
        <v>DANE</v>
      </c>
      <c r="B90" s="6" t="str">
        <f>CLEAN("1007-10-01")</f>
        <v>1007-10-01</v>
      </c>
      <c r="C90" s="6" t="str">
        <f>CLEAN("1007-11-85")</f>
        <v>1007-11-85</v>
      </c>
      <c r="D90" s="6">
        <v>2017</v>
      </c>
      <c r="E90" s="6" t="str">
        <f>CLEAN("IH -039")</f>
        <v>IH -039</v>
      </c>
      <c r="F90" s="4">
        <v>42911</v>
      </c>
      <c r="G90" s="3" t="str">
        <f>CLEAN("ILLINOIS STATE LINE - MADISON")</f>
        <v>ILLINOIS STATE LINE - MADISON</v>
      </c>
      <c r="H90" s="3" t="str">
        <f>CLEAN("CTH N INTERCHANGE")</f>
        <v>CTH N INTERCHANGE</v>
      </c>
      <c r="I90" s="3" t="str">
        <f>CLEAN("ITS PO ITEMS FOR 1007-10-86 FY 17")</f>
        <v>ITS PO ITEMS FOR 1007-10-86 FY 17</v>
      </c>
      <c r="J90" s="3">
        <v>0</v>
      </c>
    </row>
    <row r="91" spans="1:10" x14ac:dyDescent="0.25">
      <c r="A91" s="3" t="str">
        <f>CLEAN("DANE")</f>
        <v>DANE</v>
      </c>
      <c r="B91" s="6" t="str">
        <f>CLEAN("1007-10-01")</f>
        <v>1007-10-01</v>
      </c>
      <c r="C91" s="6" t="str">
        <f>CLEAN("1007-11-86")</f>
        <v>1007-11-86</v>
      </c>
      <c r="D91" s="6">
        <v>2017</v>
      </c>
      <c r="E91" s="6" t="str">
        <f>CLEAN("IH -039")</f>
        <v>IH -039</v>
      </c>
      <c r="F91" s="4">
        <v>42911</v>
      </c>
      <c r="G91" s="3" t="str">
        <f>CLEAN("ILLINOIS STATE LINE - MADISON")</f>
        <v>ILLINOIS STATE LINE - MADISON</v>
      </c>
      <c r="H91" s="3" t="str">
        <f>CLEAN("S. DANE CTY LINE TO E. CHURCH RD NB")</f>
        <v>S. DANE CTY LINE TO E. CHURCH RD NB</v>
      </c>
      <c r="I91" s="3" t="str">
        <f>CLEAN("ITS PO ITEMS FOR 1007-11-75 FY 17")</f>
        <v>ITS PO ITEMS FOR 1007-11-75 FY 17</v>
      </c>
      <c r="J91" s="3">
        <v>0</v>
      </c>
    </row>
    <row r="92" spans="1:10" x14ac:dyDescent="0.25">
      <c r="A92" s="3" t="str">
        <f>CLEAN("DANE")</f>
        <v>DANE</v>
      </c>
      <c r="B92" s="6" t="str">
        <f>CLEAN("1206-07-05")</f>
        <v>1206-07-05</v>
      </c>
      <c r="C92" s="6" t="str">
        <f>CLEAN("1206-08-94")</f>
        <v>1206-08-94</v>
      </c>
      <c r="D92" s="6">
        <v>2017</v>
      </c>
      <c r="E92" s="6" t="str">
        <f>CLEAN("USH-018")</f>
        <v>USH-018</v>
      </c>
      <c r="F92" s="4">
        <v>42911</v>
      </c>
      <c r="G92" s="3" t="str">
        <f>CLEAN("MOUNT HOREB - MADISON")</f>
        <v>MOUNT HOREB - MADISON</v>
      </c>
      <c r="H92" s="3" t="str">
        <f>CLEAN("CTH PD TO RAYMOND RD/STG 2/PHASE 1")</f>
        <v>CTH PD TO RAYMOND RD/STG 2/PHASE 1</v>
      </c>
      <c r="I92" s="3" t="str">
        <f>CLEAN("TRF PO ITEMS FOR 1206-07-74 FY 2017")</f>
        <v>TRF PO ITEMS FOR 1206-07-74 FY 2017</v>
      </c>
      <c r="J92" s="3">
        <v>0</v>
      </c>
    </row>
    <row r="93" spans="1:10" x14ac:dyDescent="0.25">
      <c r="A93" s="3" t="str">
        <f>CLEAN("DANE")</f>
        <v>DANE</v>
      </c>
      <c r="B93" s="6" t="str">
        <f>CLEAN("1206-07-05")</f>
        <v>1206-07-05</v>
      </c>
      <c r="C93" s="6" t="str">
        <f>CLEAN("1206-07-75")</f>
        <v>1206-07-75</v>
      </c>
      <c r="D93" s="6">
        <v>2017</v>
      </c>
      <c r="E93" s="6" t="str">
        <f>CLEAN("USH-018")</f>
        <v>USH-018</v>
      </c>
      <c r="F93" s="4">
        <v>42927</v>
      </c>
      <c r="G93" s="3" t="str">
        <f>CLEAN("MOUNT HOREB - MADISON")</f>
        <v>MOUNT HOREB - MADISON</v>
      </c>
      <c r="H93" s="3" t="str">
        <f>CLEAN("CTH PD TO RAYMOND RD/STG 2/PHASE 2")</f>
        <v>CTH PD TO RAYMOND RD/STG 2/PHASE 2</v>
      </c>
      <c r="I93" s="3" t="str">
        <f>CLEAN("CONST OPS/RECSTE")</f>
        <v>CONST OPS/RECSTE</v>
      </c>
      <c r="J93" s="3">
        <v>1.19</v>
      </c>
    </row>
    <row r="94" spans="1:10" x14ac:dyDescent="0.25">
      <c r="A94" s="3" t="str">
        <f>CLEAN("DANE")</f>
        <v>DANE</v>
      </c>
      <c r="B94" s="6" t="str">
        <f>CLEAN("1206-07-05")</f>
        <v>1206-07-05</v>
      </c>
      <c r="C94" s="6" t="str">
        <f>CLEAN("1206-08-75")</f>
        <v>1206-08-75</v>
      </c>
      <c r="D94" s="6">
        <v>2017</v>
      </c>
      <c r="E94" s="6" t="str">
        <f>CLEAN("USH-018")</f>
        <v>USH-018</v>
      </c>
      <c r="F94" s="4">
        <v>42927</v>
      </c>
      <c r="G94" s="3" t="str">
        <f>CLEAN("MOUNT HOREB - MADISON")</f>
        <v>MOUNT HOREB - MADISON</v>
      </c>
      <c r="H94" s="3" t="str">
        <f>CLEAN("CTH PD TO RAYMOND RD (PHASE 2 UTLS)")</f>
        <v>CTH PD TO RAYMOND RD (PHASE 2 UTLS)</v>
      </c>
      <c r="I94" s="3" t="str">
        <f>CLEAN("CONST OPS/SAN SEWER AND WATER MAIN")</f>
        <v>CONST OPS/SAN SEWER AND WATER MAIN</v>
      </c>
      <c r="J94" s="3">
        <v>0</v>
      </c>
    </row>
    <row r="95" spans="1:10" x14ac:dyDescent="0.25">
      <c r="A95" s="3" t="str">
        <f>CLEAN("DANE")</f>
        <v>DANE</v>
      </c>
      <c r="B95" s="6" t="str">
        <f>CLEAN("1206-07-05")</f>
        <v>1206-07-05</v>
      </c>
      <c r="C95" s="6" t="str">
        <f>CLEAN("1206-08-79")</f>
        <v>1206-08-79</v>
      </c>
      <c r="D95" s="6">
        <v>2017</v>
      </c>
      <c r="E95" s="6" t="str">
        <f>CLEAN("USH-018")</f>
        <v>USH-018</v>
      </c>
      <c r="F95" s="4">
        <v>42927</v>
      </c>
      <c r="G95" s="3" t="str">
        <f>CLEAN("MOUNT HOREB - MADISON")</f>
        <v>MOUNT HOREB - MADISON</v>
      </c>
      <c r="H95" s="3" t="str">
        <f>CLEAN("VERONA ROAD SALT STORAGE FACILITY")</f>
        <v>VERONA ROAD SALT STORAGE FACILITY</v>
      </c>
      <c r="I95" s="3" t="str">
        <f>CLEAN("CONST OPS/SALT SHED")</f>
        <v>CONST OPS/SALT SHED</v>
      </c>
      <c r="J95" s="3">
        <v>0</v>
      </c>
    </row>
    <row r="96" spans="1:10" x14ac:dyDescent="0.25">
      <c r="A96" s="3" t="str">
        <f>CLEAN("DANE")</f>
        <v>DANE</v>
      </c>
      <c r="B96" s="6" t="str">
        <f>CLEAN("1111-03-02")</f>
        <v>1111-03-02</v>
      </c>
      <c r="C96" s="6" t="str">
        <f>CLEAN("1111-03-70")</f>
        <v>1111-03-70</v>
      </c>
      <c r="D96" s="6">
        <v>2018</v>
      </c>
      <c r="E96" s="6" t="str">
        <f>CLEAN("USH-151")</f>
        <v>USH-151</v>
      </c>
      <c r="F96" s="4">
        <v>43053</v>
      </c>
      <c r="G96" s="3" t="str">
        <f>CLEAN("SUN PRAIRIE - BEAVER DAM")</f>
        <v>SUN PRAIRIE - BEAVER DAM</v>
      </c>
      <c r="H96" s="3" t="str">
        <f>CLEAN("CTH VV - STH 73 &amp; VARIOUS BRIDGES")</f>
        <v>CTH VV - STH 73 &amp; VARIOUS BRIDGES</v>
      </c>
      <c r="I96" s="3" t="str">
        <f>CLEAN("CONST/RESURF NB/PVRPL SB/O'LAY BRGS")</f>
        <v>CONST/RESURF NB/PVRPL SB/O'LAY BRGS</v>
      </c>
      <c r="J96" s="3">
        <v>2.3460000000000001</v>
      </c>
    </row>
    <row r="97" spans="1:10" x14ac:dyDescent="0.25">
      <c r="A97" s="3" t="str">
        <f>CLEAN("DANE")</f>
        <v>DANE</v>
      </c>
      <c r="B97" s="6" t="str">
        <f>CLEAN("1007-10-01")</f>
        <v>1007-10-01</v>
      </c>
      <c r="C97" s="6" t="str">
        <f>CLEAN("1007-11-74")</f>
        <v>1007-11-74</v>
      </c>
      <c r="D97" s="6">
        <v>2018</v>
      </c>
      <c r="E97" s="6" t="str">
        <f>CLEAN("IH -039")</f>
        <v>IH -039</v>
      </c>
      <c r="F97" s="4">
        <v>43081</v>
      </c>
      <c r="G97" s="3" t="str">
        <f>CLEAN("ILLINOIS STATE LINE - MADISON")</f>
        <v>ILLINOIS STATE LINE - MADISON</v>
      </c>
      <c r="H97" s="3" t="str">
        <f>CLEAN("S.DANE CTY LINE TO E.CHURCH RD SB")</f>
        <v>S.DANE CTY LINE TO E.CHURCH RD SB</v>
      </c>
      <c r="I97" s="3" t="str">
        <f>CLEAN("CONST OPS/RECSTE PAVEMENT/STRUCTURE")</f>
        <v>CONST OPS/RECSTE PAVEMENT/STRUCTURE</v>
      </c>
      <c r="J97" s="3">
        <v>7.0069999999999997</v>
      </c>
    </row>
    <row r="98" spans="1:10" x14ac:dyDescent="0.25">
      <c r="A98" s="3" t="str">
        <f>CLEAN("DANE")</f>
        <v>DANE</v>
      </c>
      <c r="B98" s="6" t="str">
        <f>CLEAN("1007-10-01")</f>
        <v>1007-10-01</v>
      </c>
      <c r="C98" s="6" t="str">
        <f>CLEAN("1007-12-71")</f>
        <v>1007-12-71</v>
      </c>
      <c r="D98" s="6">
        <v>2018</v>
      </c>
      <c r="E98" s="6" t="str">
        <f>CLEAN("IH -039")</f>
        <v>IH -039</v>
      </c>
      <c r="F98" s="4">
        <v>43094</v>
      </c>
      <c r="G98" s="3" t="str">
        <f>CLEAN("ILLINOIS STATE LINE - MADISON")</f>
        <v>ILLINOIS STATE LINE - MADISON</v>
      </c>
      <c r="H98" s="3" t="str">
        <f>CLEAN("EAST CHURCH ROAD OVERPASS - SB")</f>
        <v>EAST CHURCH ROAD OVERPASS - SB</v>
      </c>
      <c r="I98" s="3" t="str">
        <f>CLEAN("CONST/CCO 2 TO 1007-10-88/GUARDRAIL")</f>
        <v>CONST/CCO 2 TO 1007-10-88/GUARDRAIL</v>
      </c>
      <c r="J98" s="3">
        <v>2.1000000000000001E-2</v>
      </c>
    </row>
    <row r="99" spans="1:10" x14ac:dyDescent="0.25">
      <c r="A99" s="3" t="str">
        <f>CLEAN("DANE")</f>
        <v>DANE</v>
      </c>
      <c r="B99" s="6" t="str">
        <f>CLEAN("1007-10-01")</f>
        <v>1007-10-01</v>
      </c>
      <c r="C99" s="6" t="str">
        <f>CLEAN("1007-11-71")</f>
        <v>1007-11-71</v>
      </c>
      <c r="D99" s="6">
        <v>2018</v>
      </c>
      <c r="E99" s="6" t="str">
        <f>CLEAN("IH -039")</f>
        <v>IH -039</v>
      </c>
      <c r="F99" s="4">
        <v>43109</v>
      </c>
      <c r="G99" s="3" t="str">
        <f>CLEAN("ILLINOIS STATE LINE - MADISON")</f>
        <v>ILLINOIS STATE LINE - MADISON</v>
      </c>
      <c r="H99" s="3" t="str">
        <f>CLEAN("EAST CHURCH RD TO CHURCH ST - NB")</f>
        <v>EAST CHURCH RD TO CHURCH ST - NB</v>
      </c>
      <c r="I99" s="3" t="str">
        <f>CLEAN("CONST OPS/RECSTE PAVEMENT/STRUCTURE")</f>
        <v>CONST OPS/RECSTE PAVEMENT/STRUCTURE</v>
      </c>
      <c r="J99" s="3">
        <v>4.6779999999999999</v>
      </c>
    </row>
    <row r="100" spans="1:10" x14ac:dyDescent="0.25">
      <c r="A100" s="3" t="str">
        <f>CLEAN("DANE")</f>
        <v>DANE</v>
      </c>
      <c r="B100" s="6" t="str">
        <f>CLEAN("1007-10-01")</f>
        <v>1007-10-01</v>
      </c>
      <c r="C100" s="6" t="str">
        <f>CLEAN("1007-11-76")</f>
        <v>1007-11-76</v>
      </c>
      <c r="D100" s="6">
        <v>2018</v>
      </c>
      <c r="E100" s="6" t="str">
        <f>CLEAN("IH -039")</f>
        <v>IH -039</v>
      </c>
      <c r="F100" s="4">
        <v>43109</v>
      </c>
      <c r="G100" s="3" t="str">
        <f>CLEAN("ILLINOIS STATE LINE - MADISON")</f>
        <v>ILLINOIS STATE LINE - MADISON</v>
      </c>
      <c r="H100" s="3" t="str">
        <f>CLEAN("CHURCH STREET TO CTH AB-NB")</f>
        <v>CHURCH STREET TO CTH AB-NB</v>
      </c>
      <c r="I100" s="3" t="str">
        <f>CLEAN("CONST OPS/RECSTE PAVEMENT/STRUCTURE")</f>
        <v>CONST OPS/RECSTE PAVEMENT/STRUCTURE</v>
      </c>
      <c r="J100" s="3">
        <v>3.0870000000000002</v>
      </c>
    </row>
    <row r="101" spans="1:10" x14ac:dyDescent="0.25">
      <c r="A101" s="3" t="str">
        <f>CLEAN("DANE")</f>
        <v>DANE</v>
      </c>
      <c r="B101" s="6" t="str">
        <f>CLEAN("1206-07-05")</f>
        <v>1206-07-05</v>
      </c>
      <c r="C101" s="6" t="str">
        <f>CLEAN("1206-08-84")</f>
        <v>1206-08-84</v>
      </c>
      <c r="D101" s="6">
        <v>2018</v>
      </c>
      <c r="E101" s="6" t="str">
        <f>CLEAN("USH-018")</f>
        <v>USH-018</v>
      </c>
      <c r="F101" s="4">
        <v>43184</v>
      </c>
      <c r="G101" s="3" t="str">
        <f>CLEAN("MOUNT HOREB - MADISON")</f>
        <v>MOUNT HOREB - MADISON</v>
      </c>
      <c r="H101" s="3" t="str">
        <f>CLEAN("CTH PD TO RAYMOND RD/STG2/PHASE 3")</f>
        <v>CTH PD TO RAYMOND RD/STG2/PHASE 3</v>
      </c>
      <c r="I101" s="3" t="str">
        <f>CLEAN("CONST/CCO 2 TO 1206-07-75")</f>
        <v>CONST/CCO 2 TO 1206-07-75</v>
      </c>
      <c r="J101" s="3">
        <v>0</v>
      </c>
    </row>
    <row r="102" spans="1:10" x14ac:dyDescent="0.25">
      <c r="A102" s="3" t="str">
        <f>CLEAN("DANE")</f>
        <v>DANE</v>
      </c>
      <c r="B102" s="6" t="str">
        <f>CLEAN("1007-10-01")</f>
        <v>1007-10-01</v>
      </c>
      <c r="C102" s="6" t="str">
        <f>CLEAN("1007-11-96")</f>
        <v>1007-11-96</v>
      </c>
      <c r="D102" s="6">
        <v>2018</v>
      </c>
      <c r="E102" s="6" t="str">
        <f>CLEAN("IH -039")</f>
        <v>IH -039</v>
      </c>
      <c r="F102" s="4">
        <v>43215</v>
      </c>
      <c r="G102" s="3" t="str">
        <f>CLEAN("ILLINOIS STATE LINE - MADISON")</f>
        <v>ILLINOIS STATE LINE - MADISON</v>
      </c>
      <c r="H102" s="3" t="str">
        <f>CLEAN("S. DANE COUNTY LINE - BELTLINE")</f>
        <v>S. DANE COUNTY LINE - BELTLINE</v>
      </c>
      <c r="I102" s="3" t="str">
        <f>CLEAN("FST NORTH SEGMENT/FY 2018")</f>
        <v>FST NORTH SEGMENT/FY 2018</v>
      </c>
      <c r="J102" s="3">
        <v>0</v>
      </c>
    </row>
    <row r="103" spans="1:10" x14ac:dyDescent="0.25">
      <c r="A103" s="3" t="str">
        <f>CLEAN("DANE")</f>
        <v>DANE</v>
      </c>
      <c r="B103" s="6" t="str">
        <f>CLEAN("1007-10-01")</f>
        <v>1007-10-01</v>
      </c>
      <c r="C103" s="6" t="str">
        <f>CLEAN("1007-11-88")</f>
        <v>1007-11-88</v>
      </c>
      <c r="D103" s="6">
        <v>2018</v>
      </c>
      <c r="E103" s="6" t="str">
        <f>CLEAN("IH -039")</f>
        <v>IH -039</v>
      </c>
      <c r="F103" s="4">
        <v>43276</v>
      </c>
      <c r="G103" s="3" t="str">
        <f>CLEAN("ILLINOIS STATE LINE - MADISON")</f>
        <v>ILLINOIS STATE LINE - MADISON</v>
      </c>
      <c r="H103" s="3" t="str">
        <f>CLEAN("EAST CHURCH RD TO CHURCH ST - NB")</f>
        <v>EAST CHURCH RD TO CHURCH ST - NB</v>
      </c>
      <c r="I103" s="3" t="str">
        <f>CLEAN("ITS PO FOR 1007-11-71 / FY 18")</f>
        <v>ITS PO FOR 1007-11-71 / FY 18</v>
      </c>
      <c r="J103" s="3">
        <v>0</v>
      </c>
    </row>
    <row r="104" spans="1:10" x14ac:dyDescent="0.25">
      <c r="A104" s="3" t="str">
        <f>CLEAN("DANE")</f>
        <v>DANE</v>
      </c>
      <c r="B104" s="6" t="str">
        <f>CLEAN("1007-10-01")</f>
        <v>1007-10-01</v>
      </c>
      <c r="C104" s="6" t="str">
        <f>CLEAN("1007-11-89")</f>
        <v>1007-11-89</v>
      </c>
      <c r="D104" s="6">
        <v>2018</v>
      </c>
      <c r="E104" s="6" t="str">
        <f>CLEAN("IH -039")</f>
        <v>IH -039</v>
      </c>
      <c r="F104" s="4">
        <v>43276</v>
      </c>
      <c r="G104" s="3" t="str">
        <f>CLEAN("ILLINOIS STATE LINE - MADISON")</f>
        <v>ILLINOIS STATE LINE - MADISON</v>
      </c>
      <c r="H104" s="3" t="str">
        <f>CLEAN("S. DANE CTY LINE TO E. CHURCH RD SB")</f>
        <v>S. DANE CTY LINE TO E. CHURCH RD SB</v>
      </c>
      <c r="I104" s="3" t="str">
        <f>CLEAN("ITS PO FOR 1007-11-74 / FY 18")</f>
        <v>ITS PO FOR 1007-11-74 / FY 18</v>
      </c>
      <c r="J104" s="3">
        <v>0</v>
      </c>
    </row>
    <row r="105" spans="1:10" x14ac:dyDescent="0.25">
      <c r="A105" s="3" t="str">
        <f>CLEAN("DANE")</f>
        <v>DANE</v>
      </c>
      <c r="B105" s="6" t="str">
        <f>CLEAN("1206-07-05")</f>
        <v>1206-07-05</v>
      </c>
      <c r="C105" s="6" t="str">
        <f>CLEAN("1206-08-82")</f>
        <v>1206-08-82</v>
      </c>
      <c r="D105" s="6">
        <v>2018</v>
      </c>
      <c r="E105" s="6" t="str">
        <f>CLEAN("USH-018")</f>
        <v>USH-018</v>
      </c>
      <c r="F105" s="4">
        <v>43276</v>
      </c>
      <c r="G105" s="3" t="str">
        <f>CLEAN("MOUNT HOREB - MADISON")</f>
        <v>MOUNT HOREB - MADISON</v>
      </c>
      <c r="H105" s="3" t="str">
        <f>CLEAN("CTH PD TO RAYMOND RD/STG 2/PHASE 2")</f>
        <v>CTH PD TO RAYMOND RD/STG 2/PHASE 2</v>
      </c>
      <c r="I105" s="3" t="str">
        <f>CLEAN("TRF PO ITEMS FOR 1206-07-75 FY 18")</f>
        <v>TRF PO ITEMS FOR 1206-07-75 FY 18</v>
      </c>
      <c r="J105" s="3">
        <v>1.9E-2</v>
      </c>
    </row>
    <row r="106" spans="1:10" x14ac:dyDescent="0.25">
      <c r="A106" s="3" t="str">
        <f>CLEAN("DANE")</f>
        <v>DANE</v>
      </c>
      <c r="B106" s="6" t="str">
        <f>CLEAN("1206-07-05")</f>
        <v>1206-07-05</v>
      </c>
      <c r="C106" s="6" t="str">
        <f>CLEAN("1206-08-83")</f>
        <v>1206-08-83</v>
      </c>
      <c r="D106" s="6">
        <v>2018</v>
      </c>
      <c r="E106" s="6" t="str">
        <f>CLEAN("USH-018")</f>
        <v>USH-018</v>
      </c>
      <c r="F106" s="4">
        <v>43276</v>
      </c>
      <c r="G106" s="3" t="str">
        <f>CLEAN("MOUNT HOREB - MADISON")</f>
        <v>MOUNT HOREB - MADISON</v>
      </c>
      <c r="H106" s="3" t="str">
        <f>CLEAN("CTH PD TO RAYMOND RD/STG 2/PHASE 2")</f>
        <v>CTH PD TO RAYMOND RD/STG 2/PHASE 2</v>
      </c>
      <c r="I106" s="3" t="str">
        <f>CLEAN("ITS PO ITEMS FOR 1206-07-75 FY 18")</f>
        <v>ITS PO ITEMS FOR 1206-07-75 FY 18</v>
      </c>
      <c r="J106" s="3">
        <v>0</v>
      </c>
    </row>
    <row r="107" spans="1:10" x14ac:dyDescent="0.25">
      <c r="A107" s="3" t="str">
        <f>CLEAN("DANE")</f>
        <v>DANE</v>
      </c>
      <c r="B107" s="6" t="str">
        <f>CLEAN("1007-10-01")</f>
        <v>1007-10-01</v>
      </c>
      <c r="C107" s="6" t="str">
        <f>CLEAN("1007-11-79")</f>
        <v>1007-11-79</v>
      </c>
      <c r="D107" s="6">
        <v>2019</v>
      </c>
      <c r="E107" s="6" t="str">
        <f>CLEAN("IH -039")</f>
        <v>IH -039</v>
      </c>
      <c r="F107" s="4">
        <v>43417</v>
      </c>
      <c r="G107" s="3" t="str">
        <f>CLEAN("ILLINOIS STATE LINE - MADISON")</f>
        <v>ILLINOIS STATE LINE - MADISON</v>
      </c>
      <c r="H107" s="3" t="str">
        <f>CLEAN("EAST CHURCH RD TO CHURCH ST-SB")</f>
        <v>EAST CHURCH RD TO CHURCH ST-SB</v>
      </c>
      <c r="I107" s="3" t="str">
        <f>CLEAN("CONST OPS/RECSTE/PAVEMENT/STRUCTURE")</f>
        <v>CONST OPS/RECSTE/PAVEMENT/STRUCTURE</v>
      </c>
      <c r="J107" s="3">
        <v>4.6630000000000003</v>
      </c>
    </row>
    <row r="108" spans="1:10" x14ac:dyDescent="0.25">
      <c r="A108" s="3" t="str">
        <f>CLEAN("DANE")</f>
        <v>DANE</v>
      </c>
      <c r="B108" s="6" t="str">
        <f>CLEAN("1007-10-01")</f>
        <v>1007-10-01</v>
      </c>
      <c r="C108" s="6" t="str">
        <f>CLEAN("1007-11-80")</f>
        <v>1007-11-80</v>
      </c>
      <c r="D108" s="6">
        <v>2019</v>
      </c>
      <c r="E108" s="6" t="str">
        <f>CLEAN("IH -039")</f>
        <v>IH -039</v>
      </c>
      <c r="F108" s="4">
        <v>43417</v>
      </c>
      <c r="G108" s="3" t="str">
        <f>CLEAN("ILLINOIS STATE LINE - MADISON")</f>
        <v>ILLINOIS STATE LINE - MADISON</v>
      </c>
      <c r="H108" s="3" t="str">
        <f>CLEAN("CHURCH STREET TO CTH AB-SB")</f>
        <v>CHURCH STREET TO CTH AB-SB</v>
      </c>
      <c r="I108" s="3" t="str">
        <f>CLEAN("CONST OPS/RECSTE/PAVEMENT/STRUCTURE")</f>
        <v>CONST OPS/RECSTE/PAVEMENT/STRUCTURE</v>
      </c>
      <c r="J108" s="3">
        <v>3.165</v>
      </c>
    </row>
    <row r="109" spans="1:10" x14ac:dyDescent="0.25">
      <c r="A109" s="3" t="str">
        <f>CLEAN("DANE")</f>
        <v>DANE</v>
      </c>
      <c r="B109" s="6" t="str">
        <f>CLEAN("1206-07-05")</f>
        <v>1206-07-05</v>
      </c>
      <c r="C109" s="6" t="str">
        <f>CLEAN("1206-08-77")</f>
        <v>1206-08-77</v>
      </c>
      <c r="D109" s="6">
        <v>2019</v>
      </c>
      <c r="E109" s="6" t="str">
        <f>CLEAN("USH-018")</f>
        <v>USH-018</v>
      </c>
      <c r="F109" s="4">
        <v>43417</v>
      </c>
      <c r="G109" s="3" t="str">
        <f>CLEAN("MOUNT HOREB - MADISON")</f>
        <v>MOUNT HOREB - MADISON</v>
      </c>
      <c r="H109" s="3" t="str">
        <f>CLEAN("CTH PD TO RAYMOND RD/STG 2/PHASE 3")</f>
        <v>CTH PD TO RAYMOND RD/STG 2/PHASE 3</v>
      </c>
      <c r="I109" s="3" t="str">
        <f>CLEAN("CONST OPS/RECSTE")</f>
        <v>CONST OPS/RECSTE</v>
      </c>
      <c r="J109" s="3">
        <v>1.1359999999999999</v>
      </c>
    </row>
    <row r="110" spans="1:10" x14ac:dyDescent="0.25">
      <c r="A110" s="3" t="str">
        <f>CLEAN("DANE")</f>
        <v>DANE</v>
      </c>
      <c r="B110" s="6" t="str">
        <f>CLEAN("1206-06-08")</f>
        <v>1206-06-08</v>
      </c>
      <c r="C110" s="6" t="str">
        <f>CLEAN("1206-06-78")</f>
        <v>1206-06-78</v>
      </c>
      <c r="D110" s="6">
        <v>2019</v>
      </c>
      <c r="E110" s="6" t="str">
        <f>CLEAN("USH-012")</f>
        <v>USH-012</v>
      </c>
      <c r="F110" s="4">
        <v>43564</v>
      </c>
      <c r="G110" s="3" t="str">
        <f>CLEAN("MADISON - CAMBRIDGE")</f>
        <v>MADISON - CAMBRIDGE</v>
      </c>
      <c r="H110" s="3" t="str">
        <f>CLEAN("SEMINOLE HIGHWAY TO IH 39/90")</f>
        <v>SEMINOLE HIGHWAY TO IH 39/90</v>
      </c>
      <c r="I110" s="3" t="str">
        <f>CLEAN("CONST/RESURF RDWYS/B13-320 321 263")</f>
        <v>CONST/RESURF RDWYS/B13-320 321 263</v>
      </c>
      <c r="J110" s="3">
        <v>8.0470000000000006</v>
      </c>
    </row>
    <row r="111" spans="1:10" x14ac:dyDescent="0.25">
      <c r="A111" s="3" t="str">
        <f>CLEAN("DANE")</f>
        <v>DANE</v>
      </c>
      <c r="B111" s="6" t="str">
        <f>CLEAN("1007-10-01")</f>
        <v>1007-10-01</v>
      </c>
      <c r="C111" s="6" t="str">
        <f>CLEAN("1007-11-97")</f>
        <v>1007-11-97</v>
      </c>
      <c r="D111" s="6">
        <v>2019</v>
      </c>
      <c r="E111" s="6" t="str">
        <f>CLEAN("IH -039")</f>
        <v>IH -039</v>
      </c>
      <c r="F111" s="4">
        <v>43580</v>
      </c>
      <c r="G111" s="3" t="str">
        <f>CLEAN("ILLINOIS STATE LINE - MADISON")</f>
        <v>ILLINOIS STATE LINE - MADISON</v>
      </c>
      <c r="H111" s="3" t="str">
        <f>CLEAN("S. DANE COUNTY LINE - BELTLINE")</f>
        <v>S. DANE COUNTY LINE - BELTLINE</v>
      </c>
      <c r="I111" s="3" t="str">
        <f>CLEAN("FST NORTH SEGMENT/FY 2019")</f>
        <v>FST NORTH SEGMENT/FY 2019</v>
      </c>
      <c r="J111" s="3">
        <v>0</v>
      </c>
    </row>
    <row r="112" spans="1:10" x14ac:dyDescent="0.25">
      <c r="A112" s="3" t="str">
        <f>CLEAN("DANE")</f>
        <v>DANE</v>
      </c>
      <c r="B112" s="6" t="str">
        <f>CLEAN("1206-07-05")</f>
        <v>1206-07-05</v>
      </c>
      <c r="C112" s="6" t="str">
        <f>CLEAN("1206-08-85")</f>
        <v>1206-08-85</v>
      </c>
      <c r="D112" s="6">
        <v>2019</v>
      </c>
      <c r="E112" s="6" t="str">
        <f>CLEAN("USH-018")</f>
        <v>USH-018</v>
      </c>
      <c r="F112" s="4">
        <v>43580</v>
      </c>
      <c r="G112" s="3" t="str">
        <f>CLEAN("MOUNT HOREB TO MADISON")</f>
        <v>MOUNT HOREB TO MADISON</v>
      </c>
      <c r="H112" s="3" t="str">
        <f>CLEAN("CTH PD TO RAYMOND RD/STG2/PHASE3")</f>
        <v>CTH PD TO RAYMOND RD/STG2/PHASE3</v>
      </c>
      <c r="I112" s="3" t="str">
        <f>CLEAN("CONST/CCO 10 TO 1206-07-75")</f>
        <v>CONST/CCO 10 TO 1206-07-75</v>
      </c>
      <c r="J112" s="3">
        <v>3.2850000000000001</v>
      </c>
    </row>
    <row r="113" spans="1:10" x14ac:dyDescent="0.25">
      <c r="A113" s="3" t="str">
        <f>CLEAN("DANE")</f>
        <v>DANE</v>
      </c>
      <c r="B113" s="6" t="str">
        <f>CLEAN("1007-10-01")</f>
        <v>1007-10-01</v>
      </c>
      <c r="C113" s="6" t="str">
        <f>CLEAN("1007-12-72")</f>
        <v>1007-12-72</v>
      </c>
      <c r="D113" s="6">
        <v>2019</v>
      </c>
      <c r="E113" s="6" t="str">
        <f>CLEAN("IH -039")</f>
        <v>IH -039</v>
      </c>
      <c r="F113" s="4">
        <v>43641</v>
      </c>
      <c r="G113" s="3" t="str">
        <f>CLEAN("ILLINOIS STATE LINE - MADISON")</f>
        <v>ILLINOIS STATE LINE - MADISON</v>
      </c>
      <c r="H113" s="3" t="str">
        <f>CLEAN("EAST CHURCH RD TO CHURCH ST - SB")</f>
        <v>EAST CHURCH RD TO CHURCH ST - SB</v>
      </c>
      <c r="I113" s="3" t="str">
        <f>CLEAN("ITS PO ITEMS FOR 1007-11-79 FY 19")</f>
        <v>ITS PO ITEMS FOR 1007-11-79 FY 19</v>
      </c>
      <c r="J113" s="3">
        <v>0</v>
      </c>
    </row>
    <row r="114" spans="1:10" x14ac:dyDescent="0.25">
      <c r="A114" s="3" t="str">
        <f>CLEAN("DANE")</f>
        <v>DANE</v>
      </c>
      <c r="B114" s="6" t="str">
        <f>CLEAN("1007-10-01")</f>
        <v>1007-10-01</v>
      </c>
      <c r="C114" s="6" t="str">
        <f>CLEAN("1007-12-73")</f>
        <v>1007-12-73</v>
      </c>
      <c r="D114" s="6">
        <v>2019</v>
      </c>
      <c r="E114" s="6" t="str">
        <f>CLEAN("IH -039")</f>
        <v>IH -039</v>
      </c>
      <c r="F114" s="4">
        <v>43641</v>
      </c>
      <c r="G114" s="3" t="str">
        <f>CLEAN("ILLINOIS STATE LINE - MADISON")</f>
        <v>ILLINOIS STATE LINE - MADISON</v>
      </c>
      <c r="H114" s="3" t="str">
        <f>CLEAN("CHURCH STREET TO CTH AB - SB")</f>
        <v>CHURCH STREET TO CTH AB - SB</v>
      </c>
      <c r="I114" s="3" t="str">
        <f>CLEAN("ITS PO ITEMS FOR 1007-11-80 FY 19")</f>
        <v>ITS PO ITEMS FOR 1007-11-80 FY 19</v>
      </c>
      <c r="J114" s="3">
        <v>0</v>
      </c>
    </row>
    <row r="115" spans="1:10" x14ac:dyDescent="0.25">
      <c r="A115" s="3" t="str">
        <f>CLEAN("DANE")</f>
        <v>DANE</v>
      </c>
      <c r="B115" s="6" t="str">
        <f>CLEAN("1007-10-01")</f>
        <v>1007-10-01</v>
      </c>
      <c r="C115" s="6" t="str">
        <f>CLEAN("1007-12-81")</f>
        <v>1007-12-81</v>
      </c>
      <c r="D115" s="6">
        <v>2019</v>
      </c>
      <c r="E115" s="6" t="str">
        <f>CLEAN("IH -039")</f>
        <v>IH -039</v>
      </c>
      <c r="F115" s="4">
        <v>43641</v>
      </c>
      <c r="G115" s="3" t="str">
        <f>CLEAN("ILLINOIS STATE LINE - MADISON")</f>
        <v>ILLINOIS STATE LINE - MADISON</v>
      </c>
      <c r="H115" s="3" t="str">
        <f>CLEAN("EAST CHURCH RD TO CHURCH ST - NB")</f>
        <v>EAST CHURCH RD TO CHURCH ST - NB</v>
      </c>
      <c r="I115" s="3" t="str">
        <f>CLEAN("ITS PO FOR 1007-11-71 / FY 19")</f>
        <v>ITS PO FOR 1007-11-71 / FY 19</v>
      </c>
      <c r="J115" s="3">
        <v>4.601</v>
      </c>
    </row>
    <row r="116" spans="1:10" x14ac:dyDescent="0.25">
      <c r="A116" s="3" t="str">
        <f>CLEAN("DANE")</f>
        <v>DANE</v>
      </c>
      <c r="B116" s="6" t="str">
        <f>CLEAN("1206-07-05")</f>
        <v>1206-07-05</v>
      </c>
      <c r="C116" s="6" t="str">
        <f>CLEAN("1206-08-80")</f>
        <v>1206-08-80</v>
      </c>
      <c r="D116" s="6">
        <v>2019</v>
      </c>
      <c r="E116" s="6" t="str">
        <f>CLEAN("USH-018")</f>
        <v>USH-018</v>
      </c>
      <c r="F116" s="4">
        <v>43641</v>
      </c>
      <c r="G116" s="3" t="str">
        <f>CLEAN("MOUNT HOREB - MADISON")</f>
        <v>MOUNT HOREB - MADISON</v>
      </c>
      <c r="H116" s="3" t="str">
        <f>CLEAN("CTH PD TO RAYMOND RD/STG 2/PHASE 3")</f>
        <v>CTH PD TO RAYMOND RD/STG 2/PHASE 3</v>
      </c>
      <c r="I116" s="3" t="str">
        <f>CLEAN("TRF PO ITEMS FOR 1206-08-77 FY 19")</f>
        <v>TRF PO ITEMS FOR 1206-08-77 FY 19</v>
      </c>
      <c r="J116" s="3">
        <v>2.4E-2</v>
      </c>
    </row>
    <row r="117" spans="1:10" x14ac:dyDescent="0.25">
      <c r="A117" s="3" t="str">
        <f>CLEAN("DANE")</f>
        <v>DANE</v>
      </c>
      <c r="B117" s="6" t="str">
        <f>CLEAN("1206-07-05")</f>
        <v>1206-07-05</v>
      </c>
      <c r="C117" s="6" t="str">
        <f>CLEAN("1206-08-81")</f>
        <v>1206-08-81</v>
      </c>
      <c r="D117" s="6">
        <v>2019</v>
      </c>
      <c r="E117" s="6" t="str">
        <f>CLEAN("USH-018")</f>
        <v>USH-018</v>
      </c>
      <c r="F117" s="4">
        <v>43641</v>
      </c>
      <c r="G117" s="3" t="str">
        <f>CLEAN("MOUNT HOREB - MADISON")</f>
        <v>MOUNT HOREB - MADISON</v>
      </c>
      <c r="H117" s="3" t="str">
        <f>CLEAN("CTH PD TO RAYMOND RD/STG 2/PHASE 3")</f>
        <v>CTH PD TO RAYMOND RD/STG 2/PHASE 3</v>
      </c>
      <c r="I117" s="3" t="str">
        <f>CLEAN("ITS PO ITEMS FOR 1206-08-77 FY 19")</f>
        <v>ITS PO ITEMS FOR 1206-08-77 FY 19</v>
      </c>
      <c r="J117" s="3">
        <v>0</v>
      </c>
    </row>
    <row r="118" spans="1:10" x14ac:dyDescent="0.25">
      <c r="A118" s="3" t="str">
        <f>CLEAN("DANE")</f>
        <v>DANE</v>
      </c>
      <c r="B118" s="6" t="str">
        <f>CLEAN("1007-10-01")</f>
        <v>1007-10-01</v>
      </c>
      <c r="C118" s="6" t="str">
        <f>CLEAN("1007-12-74")</f>
        <v>1007-12-74</v>
      </c>
      <c r="D118" s="6">
        <v>2019</v>
      </c>
      <c r="E118" s="6" t="str">
        <f>CLEAN("IH -039")</f>
        <v>IH -039</v>
      </c>
      <c r="F118" s="4">
        <v>43655</v>
      </c>
      <c r="G118" s="3" t="str">
        <f>CLEAN("ILLINOIS STATE LINE - MADISON")</f>
        <v>ILLINOIS STATE LINE - MADISON</v>
      </c>
      <c r="H118" s="3" t="str">
        <f>CLEAN("CTH AB TO USH 12/18 INTCHG - TEMP")</f>
        <v>CTH AB TO USH 12/18 INTCHG - TEMP</v>
      </c>
      <c r="I118" s="3" t="str">
        <f>CLEAN("CONST OPS/TEMPORARY WIDENING")</f>
        <v>CONST OPS/TEMPORARY WIDENING</v>
      </c>
      <c r="J118" s="3">
        <v>2.6</v>
      </c>
    </row>
    <row r="119" spans="1:10" x14ac:dyDescent="0.25">
      <c r="A119" s="3" t="str">
        <f>CLEAN("DANE")</f>
        <v>DANE</v>
      </c>
      <c r="B119" s="6" t="str">
        <f>CLEAN("1007-10-01")</f>
        <v>1007-10-01</v>
      </c>
      <c r="C119" s="6" t="str">
        <f>CLEAN("1007-12-75")</f>
        <v>1007-12-75</v>
      </c>
      <c r="D119" s="6">
        <v>2019</v>
      </c>
      <c r="E119" s="6" t="str">
        <f>CLEAN("IH -039")</f>
        <v>IH -039</v>
      </c>
      <c r="F119" s="4">
        <v>43655</v>
      </c>
      <c r="G119" s="3" t="str">
        <f>CLEAN("ILLINOIS STATE LINE - MADISON")</f>
        <v>ILLINOIS STATE LINE - MADISON</v>
      </c>
      <c r="H119" s="3" t="str">
        <f>CLEAN("CTH AB TO USH 12/18 INTCHG - RECSTE")</f>
        <v>CTH AB TO USH 12/18 INTCHG - RECSTE</v>
      </c>
      <c r="I119" s="3" t="str">
        <f>CLEAN("CONST OPS/RECSTE")</f>
        <v>CONST OPS/RECSTE</v>
      </c>
      <c r="J119" s="3">
        <v>2.077</v>
      </c>
    </row>
    <row r="120" spans="1:10" x14ac:dyDescent="0.25">
      <c r="A120" s="3" t="str">
        <f>CLEAN("DANE")</f>
        <v>DANE</v>
      </c>
      <c r="B120" s="6" t="str">
        <f>CLEAN("1206-04-37")</f>
        <v>1206-04-37</v>
      </c>
      <c r="C120" s="6" t="str">
        <f>CLEAN("1206-04-67")</f>
        <v>1206-04-67</v>
      </c>
      <c r="D120" s="6">
        <v>2020</v>
      </c>
      <c r="E120" s="6" t="str">
        <f>CLEAN("USH-012")</f>
        <v>USH-012</v>
      </c>
      <c r="F120" s="4">
        <v>43690</v>
      </c>
      <c r="G120" s="3" t="str">
        <f>CLEAN("C MADISON  SOUTH MADISON BELTLINE")</f>
        <v>C MADISON  SOUTH MADISON BELTLINE</v>
      </c>
      <c r="H120" s="3" t="str">
        <f>CLEAN("SOUTH TOWNE DRIVE BRIDGE B-13-0311")</f>
        <v>SOUTH TOWNE DRIVE BRIDGE B-13-0311</v>
      </c>
      <c r="I120" s="3" t="str">
        <f>CLEAN("CONST/DECK OVERLAY")</f>
        <v>CONST/DECK OVERLAY</v>
      </c>
      <c r="J120" s="3">
        <v>0</v>
      </c>
    </row>
    <row r="121" spans="1:10" x14ac:dyDescent="0.25">
      <c r="A121" s="3" t="str">
        <f>CLEAN("DANE")</f>
        <v>DANE</v>
      </c>
      <c r="B121" s="6" t="str">
        <f>CLEAN("5290-00-02")</f>
        <v>5290-00-02</v>
      </c>
      <c r="C121" s="6" t="str">
        <f>CLEAN("5290-00-72")</f>
        <v>5290-00-72</v>
      </c>
      <c r="D121" s="6">
        <v>2020</v>
      </c>
      <c r="E121" s="6" t="str">
        <f>CLEAN("STH-019")</f>
        <v>STH-019</v>
      </c>
      <c r="F121" s="4">
        <v>43690</v>
      </c>
      <c r="G121" s="3" t="str">
        <f>CLEAN("USH 12 - IH 39")</f>
        <v>USH 12 - IH 39</v>
      </c>
      <c r="H121" s="3" t="str">
        <f>CLEAN("RIVER ROAD TO IH39")</f>
        <v>RIVER ROAD TO IH39</v>
      </c>
      <c r="I121" s="3" t="str">
        <f>CLEAN("CONST/STRUC B-13-0794 -0795 &amp; RDWY")</f>
        <v>CONST/STRUC B-13-0794 -0795 &amp; RDWY</v>
      </c>
      <c r="J121" s="3">
        <v>0.82</v>
      </c>
    </row>
    <row r="122" spans="1:10" x14ac:dyDescent="0.25">
      <c r="A122" s="3" t="str">
        <f>CLEAN("DANE")</f>
        <v>DANE</v>
      </c>
      <c r="B122" s="6" t="str">
        <f>CLEAN("3080-05-60")</f>
        <v>3080-05-60</v>
      </c>
      <c r="C122" s="6" t="str">
        <f>CLEAN("3080-05-60")</f>
        <v>3080-05-60</v>
      </c>
      <c r="D122" s="6">
        <v>2020</v>
      </c>
      <c r="E122" s="6" t="str">
        <f>CLEAN("USH-012")</f>
        <v>USH-012</v>
      </c>
      <c r="F122" s="4">
        <v>43702</v>
      </c>
      <c r="G122" s="3" t="str">
        <f>CLEAN("MADISON - CAMBRIDGE")</f>
        <v>MADISON - CAMBRIDGE</v>
      </c>
      <c r="H122" s="3" t="str">
        <f>CLEAN("CTH N TO STH 73")</f>
        <v>CTH N TO STH 73</v>
      </c>
      <c r="I122" s="3" t="str">
        <f>CLEAN("LFA/ JOINT REPAIR")</f>
        <v>LFA/ JOINT REPAIR</v>
      </c>
      <c r="J122" s="3">
        <v>6.468</v>
      </c>
    </row>
    <row r="123" spans="1:10" x14ac:dyDescent="0.25">
      <c r="A123" s="3" t="str">
        <f>CLEAN("DANE")</f>
        <v>DANE</v>
      </c>
      <c r="B123" s="6" t="str">
        <f>CLEAN("1206-07-05")</f>
        <v>1206-07-05</v>
      </c>
      <c r="C123" s="6" t="str">
        <f>CLEAN("1206-08-86")</f>
        <v>1206-08-86</v>
      </c>
      <c r="D123" s="6">
        <v>2020</v>
      </c>
      <c r="E123" s="6" t="str">
        <f>CLEAN("USH-018")</f>
        <v>USH-018</v>
      </c>
      <c r="F123" s="4">
        <v>43733</v>
      </c>
      <c r="G123" s="3" t="str">
        <f>CLEAN("MOUNT HOREB TO MADISON")</f>
        <v>MOUNT HOREB TO MADISON</v>
      </c>
      <c r="H123" s="3" t="str">
        <f>CLEAN("FRONTAGE ROAD B-13-649 &amp; B-13-650")</f>
        <v>FRONTAGE ROAD B-13-649 &amp; B-13-650</v>
      </c>
      <c r="I123" s="3" t="str">
        <f>CLEAN("CONST/CCO 12 TO 1206-07-75")</f>
        <v>CONST/CCO 12 TO 1206-07-75</v>
      </c>
      <c r="J123" s="3">
        <v>0</v>
      </c>
    </row>
    <row r="124" spans="1:10" x14ac:dyDescent="0.25">
      <c r="A124" s="3" t="str">
        <f>CLEAN("DANE")</f>
        <v>DANE</v>
      </c>
      <c r="B124" s="6" t="str">
        <f>CLEAN("1066-03-03")</f>
        <v>1066-03-03</v>
      </c>
      <c r="C124" s="6" t="str">
        <f>CLEAN("1066-03-73")</f>
        <v>1066-03-73</v>
      </c>
      <c r="D124" s="6">
        <v>2020</v>
      </c>
      <c r="E124" s="6" t="str">
        <f>CLEAN("IH -094")</f>
        <v>IH -094</v>
      </c>
      <c r="F124" s="4">
        <v>43781</v>
      </c>
      <c r="G124" s="3" t="str">
        <f>CLEAN("MADISON - LAKE MILLS")</f>
        <v>MADISON - LAKE MILLS</v>
      </c>
      <c r="H124" s="3" t="str">
        <f>CLEAN("KOSHKONONG CR BR; 3 UNNAMED CR BRGS")</f>
        <v>KOSHKONONG CR BR; 3 UNNAMED CR BRGS</v>
      </c>
      <c r="I124" s="3" t="str">
        <f>CLEAN("CONST/B-13-841/NEW B-13-842 843 844")</f>
        <v>CONST/B-13-841/NEW B-13-842 843 844</v>
      </c>
      <c r="J124" s="3">
        <v>0</v>
      </c>
    </row>
    <row r="125" spans="1:10" x14ac:dyDescent="0.25">
      <c r="A125" s="3" t="str">
        <f>CLEAN("DANE")</f>
        <v>DANE</v>
      </c>
      <c r="B125" s="6" t="str">
        <f>CLEAN("5155-02-03")</f>
        <v>5155-02-03</v>
      </c>
      <c r="C125" s="6" t="str">
        <f>CLEAN("5155-02-83")</f>
        <v>5155-02-83</v>
      </c>
      <c r="D125" s="6">
        <v>2020</v>
      </c>
      <c r="E125" s="6" t="str">
        <f>CLEAN("USH-014")</f>
        <v>USH-014</v>
      </c>
      <c r="F125" s="4">
        <v>43781</v>
      </c>
      <c r="G125" s="3" t="str">
        <f>CLEAN("MADISON - EVANSVILLE")</f>
        <v>MADISON - EVANSVILLE</v>
      </c>
      <c r="H125" s="3" t="str">
        <f>CLEAN("MCCOY RD/BYRNE RD/STH 138 BRIDGES")</f>
        <v>MCCOY RD/BYRNE RD/STH 138 BRIDGES</v>
      </c>
      <c r="I125" s="3" t="str">
        <f>CLEAN("CONST/REPL DECKS &amp; BRIDGE B-13-0793")</f>
        <v>CONST/REPL DECKS &amp; BRIDGE B-13-0793</v>
      </c>
      <c r="J125" s="3">
        <v>0.01</v>
      </c>
    </row>
    <row r="126" spans="1:10" x14ac:dyDescent="0.25">
      <c r="A126" s="3" t="str">
        <f>CLEAN("DANE")</f>
        <v>DANE</v>
      </c>
      <c r="B126" s="6" t="str">
        <f>CLEAN("5155-02-33")</f>
        <v>5155-02-33</v>
      </c>
      <c r="C126" s="6" t="str">
        <f>CLEAN("5155-02-63")</f>
        <v>5155-02-63</v>
      </c>
      <c r="D126" s="6">
        <v>2020</v>
      </c>
      <c r="E126" s="6" t="str">
        <f>CLEAN("USH-014")</f>
        <v>USH-014</v>
      </c>
      <c r="F126" s="4">
        <v>43781</v>
      </c>
      <c r="G126" s="3" t="str">
        <f>CLEAN("MADISON - EVANSVILLE")</f>
        <v>MADISON - EVANSVILLE</v>
      </c>
      <c r="H126" s="3" t="str">
        <f>CLEAN("BYRNE ROAD TO NETHERWOOD ROAD")</f>
        <v>BYRNE ROAD TO NETHERWOOD ROAD</v>
      </c>
      <c r="I126" s="3" t="str">
        <f>CLEAN("CONST/MEDIAN CABLE GUARD")</f>
        <v>CONST/MEDIAN CABLE GUARD</v>
      </c>
      <c r="J126" s="3">
        <v>0.01</v>
      </c>
    </row>
    <row r="127" spans="1:10" x14ac:dyDescent="0.25">
      <c r="A127" s="3" t="str">
        <f>CLEAN("DANE")</f>
        <v>DANE</v>
      </c>
      <c r="B127" s="6" t="str">
        <f>CLEAN("1007-10-05")</f>
        <v>1007-10-05</v>
      </c>
      <c r="C127" s="6" t="str">
        <f>CLEAN("1007-12-78")</f>
        <v>1007-12-78</v>
      </c>
      <c r="D127" s="6">
        <v>2020</v>
      </c>
      <c r="E127" s="6" t="str">
        <f>CLEAN("IH -039")</f>
        <v>IH -039</v>
      </c>
      <c r="F127" s="4">
        <v>43809</v>
      </c>
      <c r="G127" s="3" t="str">
        <f>CLEAN("ILLINOIS STATE LINE - MADISON")</f>
        <v>ILLINOIS STATE LINE - MADISON</v>
      </c>
      <c r="H127" s="3" t="str">
        <f>CLEAN("USH 12/18 INTCHG/CORE NB/EARLY WORK")</f>
        <v>USH 12/18 INTCHG/CORE NB/EARLY WORK</v>
      </c>
      <c r="I127" s="3" t="str">
        <f>CLEAN("CONST OPS/RESCTE/EARLY STR AND FILL")</f>
        <v>CONST OPS/RESCTE/EARLY STR AND FILL</v>
      </c>
      <c r="J127" s="3">
        <v>0.157</v>
      </c>
    </row>
    <row r="128" spans="1:10" x14ac:dyDescent="0.25">
      <c r="A128" s="3" t="str">
        <f>CLEAN("DANE")</f>
        <v>DANE</v>
      </c>
      <c r="B128" s="6" t="str">
        <f>CLEAN("5310-02-33")</f>
        <v>5310-02-33</v>
      </c>
      <c r="C128" s="6" t="str">
        <f>CLEAN("5310-02-63")</f>
        <v>5310-02-63</v>
      </c>
      <c r="D128" s="6">
        <v>2020</v>
      </c>
      <c r="E128" s="6" t="str">
        <f>CLEAN("USH-014")</f>
        <v>USH-014</v>
      </c>
      <c r="F128" s="4">
        <v>43844</v>
      </c>
      <c r="G128" s="3" t="str">
        <f>CLEAN("SPRING GREEN - MADISON")</f>
        <v>SPRING GREEN - MADISON</v>
      </c>
      <c r="H128" s="3" t="str">
        <f>CLEAN("WESTVIEW COURT TO PINEHURST DRIVE")</f>
        <v>WESTVIEW COURT TO PINEHURST DRIVE</v>
      </c>
      <c r="I128" s="3" t="str">
        <f>CLEAN("CONST/MILL &amp; OVERLAY")</f>
        <v>CONST/MILL &amp; OVERLAY</v>
      </c>
      <c r="J128" s="3">
        <v>4.9790000000000001</v>
      </c>
    </row>
    <row r="129" spans="1:10" x14ac:dyDescent="0.25">
      <c r="A129" s="3" t="str">
        <f>CLEAN("DANE")</f>
        <v>DANE</v>
      </c>
      <c r="B129" s="6" t="str">
        <f>CLEAN("1007-10-01")</f>
        <v>1007-10-01</v>
      </c>
      <c r="C129" s="6" t="str">
        <f>CLEAN("1007-12-84")</f>
        <v>1007-12-84</v>
      </c>
      <c r="D129" s="6">
        <v>2020</v>
      </c>
      <c r="E129" s="6" t="str">
        <f>CLEAN("IH -039")</f>
        <v>IH -039</v>
      </c>
      <c r="F129" s="4">
        <v>43855</v>
      </c>
      <c r="G129" s="3" t="str">
        <f>CLEAN("ILLINOIS STATE LINE - MADISON")</f>
        <v>ILLINOIS STATE LINE - MADISON</v>
      </c>
      <c r="H129" s="3" t="str">
        <f>CLEAN("CHURCH STREET TO CTH AB-SB")</f>
        <v>CHURCH STREET TO CTH AB-SB</v>
      </c>
      <c r="I129" s="3" t="str">
        <f>CLEAN("CONST/CCO 10 TO 1007-11-80")</f>
        <v>CONST/CCO 10 TO 1007-11-80</v>
      </c>
      <c r="J129" s="3">
        <v>0</v>
      </c>
    </row>
    <row r="130" spans="1:10" x14ac:dyDescent="0.25">
      <c r="A130" s="3" t="str">
        <f>CLEAN("DANE")</f>
        <v>DANE</v>
      </c>
      <c r="B130" s="6" t="str">
        <f>CLEAN("1206-07-05")</f>
        <v>1206-07-05</v>
      </c>
      <c r="C130" s="6" t="str">
        <f>CLEAN("1206-08-87")</f>
        <v>1206-08-87</v>
      </c>
      <c r="D130" s="6">
        <v>2020</v>
      </c>
      <c r="E130" s="6" t="str">
        <f>CLEAN("USH-018")</f>
        <v>USH-018</v>
      </c>
      <c r="F130" s="4">
        <v>43855</v>
      </c>
      <c r="G130" s="3" t="str">
        <f>CLEAN("MOUNT HOREB - MADISON")</f>
        <v>MOUNT HOREB - MADISON</v>
      </c>
      <c r="H130" s="3" t="str">
        <f>CLEAN("CTH PD TO RAYMOND RD/STG 2/PHASE 3")</f>
        <v>CTH PD TO RAYMOND RD/STG 2/PHASE 3</v>
      </c>
      <c r="I130" s="3" t="str">
        <f>CLEAN("CONST CCO 3 FOR 1206-08-77")</f>
        <v>CONST CCO 3 FOR 1206-08-77</v>
      </c>
      <c r="J130" s="3">
        <v>1.81</v>
      </c>
    </row>
    <row r="131" spans="1:10" x14ac:dyDescent="0.25">
      <c r="A131" s="3" t="str">
        <f>CLEAN("DANE")</f>
        <v>DANE</v>
      </c>
      <c r="B131" s="6" t="str">
        <f>CLEAN("1206-06-08")</f>
        <v>1206-06-08</v>
      </c>
      <c r="C131" s="6" t="str">
        <f>CLEAN("1206-06-88")</f>
        <v>1206-06-88</v>
      </c>
      <c r="D131" s="6">
        <v>2020</v>
      </c>
      <c r="E131" s="6" t="str">
        <f>CLEAN("USH-012")</f>
        <v>USH-012</v>
      </c>
      <c r="F131" s="4">
        <v>43886</v>
      </c>
      <c r="G131" s="3" t="str">
        <f>CLEAN("MADISON - CAMBRIDGE")</f>
        <v>MADISON - CAMBRIDGE</v>
      </c>
      <c r="H131" s="3" t="str">
        <f>CLEAN("WHITNEY WAY TO IH 39/90")</f>
        <v>WHITNEY WAY TO IH 39/90</v>
      </c>
      <c r="I131" s="3" t="str">
        <f>CLEAN("ELEC PREP INCIDENTAL TO 1206-06-79")</f>
        <v>ELEC PREP INCIDENTAL TO 1206-06-79</v>
      </c>
      <c r="J131" s="3">
        <v>10.394</v>
      </c>
    </row>
    <row r="132" spans="1:10" x14ac:dyDescent="0.25">
      <c r="A132" s="3" t="str">
        <f>CLEAN("DANE")</f>
        <v>DANE</v>
      </c>
      <c r="B132" s="6" t="str">
        <f>CLEAN("1011-01-34")</f>
        <v>1011-01-34</v>
      </c>
      <c r="C132" s="6" t="str">
        <f>CLEAN("1011-01-64")</f>
        <v>1011-01-64</v>
      </c>
      <c r="D132" s="6">
        <v>2020</v>
      </c>
      <c r="E132" s="6" t="str">
        <f>CLEAN("IH -039")</f>
        <v>IH -039</v>
      </c>
      <c r="F132" s="4">
        <v>43900</v>
      </c>
      <c r="G132" s="3" t="str">
        <f>CLEAN("MADISON - PORTAGE")</f>
        <v>MADISON - PORTAGE</v>
      </c>
      <c r="H132" s="3" t="str">
        <f>CLEAN("USH 151 TO RIVER ROAD (2 LOCATIONS)")</f>
        <v>USH 151 TO RIVER ROAD (2 LOCATIONS)</v>
      </c>
      <c r="I132" s="3" t="str">
        <f>CLEAN("CONST/DRAINAGE IMPROVEMENTS")</f>
        <v>CONST/DRAINAGE IMPROVEMENTS</v>
      </c>
      <c r="J132" s="3">
        <v>0.379</v>
      </c>
    </row>
    <row r="133" spans="1:10" x14ac:dyDescent="0.25">
      <c r="A133" s="3" t="str">
        <f>CLEAN("DANE")</f>
        <v>DANE</v>
      </c>
      <c r="B133" s="6" t="str">
        <f>CLEAN("1007-10-01")</f>
        <v>1007-10-01</v>
      </c>
      <c r="C133" s="6" t="str">
        <f>CLEAN("1007-11-98")</f>
        <v>1007-11-98</v>
      </c>
      <c r="D133" s="6">
        <v>2020</v>
      </c>
      <c r="E133" s="6" t="str">
        <f>CLEAN("IH -039")</f>
        <v>IH -039</v>
      </c>
      <c r="F133" s="4">
        <v>43915</v>
      </c>
      <c r="G133" s="3" t="str">
        <f>CLEAN("ILLINOIS STATE LINE - MADISON")</f>
        <v>ILLINOIS STATE LINE - MADISON</v>
      </c>
      <c r="H133" s="3" t="str">
        <f>CLEAN("S. DANE COUNTY LINE - BELTLINE")</f>
        <v>S. DANE COUNTY LINE - BELTLINE</v>
      </c>
      <c r="I133" s="3" t="str">
        <f>CLEAN("FST NORTH SEGMENT/FY 2020")</f>
        <v>FST NORTH SEGMENT/FY 2020</v>
      </c>
      <c r="J133" s="3">
        <v>0</v>
      </c>
    </row>
    <row r="134" spans="1:10" x14ac:dyDescent="0.25">
      <c r="A134" s="3" t="str">
        <f>CLEAN("DANE")</f>
        <v>DANE</v>
      </c>
      <c r="B134" s="6" t="str">
        <f>CLEAN("1206-07-05")</f>
        <v>1206-07-05</v>
      </c>
      <c r="C134" s="6" t="str">
        <f>CLEAN("1206-08-88")</f>
        <v>1206-08-88</v>
      </c>
      <c r="D134" s="6">
        <v>2020</v>
      </c>
      <c r="E134" s="6" t="str">
        <f>CLEAN("USH-018")</f>
        <v>USH-018</v>
      </c>
      <c r="F134" s="4">
        <v>43915</v>
      </c>
      <c r="G134" s="3" t="str">
        <f>CLEAN("MOUNT HOREB - MADISON")</f>
        <v>MOUNT HOREB - MADISON</v>
      </c>
      <c r="H134" s="3" t="str">
        <f>CLEAN("CTH PD TO RAYMOND RD/STG 2/PHASE 3")</f>
        <v>CTH PD TO RAYMOND RD/STG 2/PHASE 3</v>
      </c>
      <c r="I134" s="3" t="str">
        <f>CLEAN("TRF MIT FOR 1206-08-77 FY20")</f>
        <v>TRF MIT FOR 1206-08-77 FY20</v>
      </c>
      <c r="J134" s="3">
        <v>1.81</v>
      </c>
    </row>
    <row r="135" spans="1:10" x14ac:dyDescent="0.25">
      <c r="A135" s="3" t="str">
        <f>CLEAN("DANE")</f>
        <v>DANE</v>
      </c>
      <c r="B135" s="6" t="str">
        <f>CLEAN("5845-04-01")</f>
        <v>5845-04-01</v>
      </c>
      <c r="C135" s="6" t="str">
        <f>CLEAN("5845-04-72")</f>
        <v>5845-04-72</v>
      </c>
      <c r="D135" s="6">
        <v>2020</v>
      </c>
      <c r="E135" s="6" t="str">
        <f>CLEAN("USH-051")</f>
        <v>USH-051</v>
      </c>
      <c r="F135" s="4">
        <v>43935</v>
      </c>
      <c r="G135" s="3" t="str">
        <f>CLEAN("C STOUGHTON  W MAIN STREET")</f>
        <v>C STOUGHTON  W MAIN STREET</v>
      </c>
      <c r="H135" s="3" t="str">
        <f>CLEAN("HOEL AVENUE TO PAGE STREET")</f>
        <v>HOEL AVENUE TO PAGE STREET</v>
      </c>
      <c r="I135" s="3" t="str">
        <f>CLEAN("CONST/PAVEMENT REHABILITATION")</f>
        <v>CONST/PAVEMENT REHABILITATION</v>
      </c>
      <c r="J135" s="3">
        <v>1.0680000000000001</v>
      </c>
    </row>
    <row r="136" spans="1:10" x14ac:dyDescent="0.25">
      <c r="A136" s="3" t="str">
        <f>CLEAN("DANE")</f>
        <v>DANE</v>
      </c>
      <c r="B136" s="6" t="str">
        <f>CLEAN("1007-10-05")</f>
        <v>1007-10-05</v>
      </c>
      <c r="C136" s="6" t="str">
        <f>CLEAN("1007-12-79")</f>
        <v>1007-12-79</v>
      </c>
      <c r="D136" s="6">
        <v>2020</v>
      </c>
      <c r="E136" s="6" t="str">
        <f>CLEAN("IH -039")</f>
        <v>IH -039</v>
      </c>
      <c r="F136" s="4">
        <v>43991</v>
      </c>
      <c r="G136" s="3" t="str">
        <f>CLEAN("ILLINOIS STATE LINE - MADISON")</f>
        <v>ILLINOIS STATE LINE - MADISON</v>
      </c>
      <c r="H136" s="3" t="str">
        <f>CLEAN("USH 12/18 INTCHG/CORE SB")</f>
        <v>USH 12/18 INTCHG/CORE SB</v>
      </c>
      <c r="I136" s="3" t="str">
        <f>CLEAN("CONST OPS/RECSTE/SB")</f>
        <v>CONST OPS/RECSTE/SB</v>
      </c>
      <c r="J136" s="3">
        <v>2.4700000000000002</v>
      </c>
    </row>
    <row r="137" spans="1:10" x14ac:dyDescent="0.25">
      <c r="A137" s="3" t="str">
        <f>CLEAN("DANE")</f>
        <v>DANE</v>
      </c>
      <c r="B137" s="6" t="str">
        <f>CLEAN("1007-10-05")</f>
        <v>1007-10-05</v>
      </c>
      <c r="C137" s="6" t="str">
        <f>CLEAN("1007-12-80")</f>
        <v>1007-12-80</v>
      </c>
      <c r="D137" s="6">
        <v>2020</v>
      </c>
      <c r="E137" s="6" t="str">
        <f>CLEAN("IH -039")</f>
        <v>IH -039</v>
      </c>
      <c r="F137" s="4">
        <v>43991</v>
      </c>
      <c r="G137" s="3" t="str">
        <f>CLEAN("ILLINOIS STATE LINE - MADISON")</f>
        <v>ILLINOIS STATE LINE - MADISON</v>
      </c>
      <c r="H137" s="3" t="str">
        <f>CLEAN("USH 12/18 INTCHG/CORE NB/FINAL WORK")</f>
        <v>USH 12/18 INTCHG/CORE NB/FINAL WORK</v>
      </c>
      <c r="I137" s="3" t="str">
        <f>CLEAN("CONST OPS/RECSTE")</f>
        <v>CONST OPS/RECSTE</v>
      </c>
      <c r="J137" s="3">
        <v>2.46</v>
      </c>
    </row>
    <row r="138" spans="1:10" x14ac:dyDescent="0.25">
      <c r="A138" s="3" t="str">
        <f>CLEAN("DANE")</f>
        <v>DANE</v>
      </c>
      <c r="B138" s="6" t="str">
        <f>CLEAN("1007-10-01")</f>
        <v>1007-10-01</v>
      </c>
      <c r="C138" s="6" t="str">
        <f>CLEAN("1007-12-82")</f>
        <v>1007-12-82</v>
      </c>
      <c r="D138" s="6">
        <v>2020</v>
      </c>
      <c r="E138" s="6" t="str">
        <f>CLEAN("IH -039")</f>
        <v>IH -039</v>
      </c>
      <c r="F138" s="4">
        <v>44007</v>
      </c>
      <c r="G138" s="3" t="str">
        <f>CLEAN("ILLINOIS STATE LINE - MADISON")</f>
        <v>ILLINOIS STATE LINE - MADISON</v>
      </c>
      <c r="H138" s="3" t="str">
        <f>CLEAN("CTH AB TO USH 12/18 INTCHG")</f>
        <v>CTH AB TO USH 12/18 INTCHG</v>
      </c>
      <c r="I138" s="3" t="str">
        <f>CLEAN("ITS PO ITEMS FOR 1007-12-75/FY 2020")</f>
        <v>ITS PO ITEMS FOR 1007-12-75/FY 2020</v>
      </c>
      <c r="J138" s="3">
        <v>7.1999999999999995E-2</v>
      </c>
    </row>
    <row r="139" spans="1:10" x14ac:dyDescent="0.25">
      <c r="A139" s="3" t="str">
        <f>CLEAN("DANE")</f>
        <v>DANE</v>
      </c>
      <c r="B139" s="6" t="str">
        <f>CLEAN("1007-10-01")</f>
        <v>1007-10-01</v>
      </c>
      <c r="C139" s="6" t="str">
        <f>CLEAN("1007-12-83")</f>
        <v>1007-12-83</v>
      </c>
      <c r="D139" s="6">
        <v>2020</v>
      </c>
      <c r="E139" s="6" t="str">
        <f>CLEAN("IH -039")</f>
        <v>IH -039</v>
      </c>
      <c r="F139" s="4">
        <v>44007</v>
      </c>
      <c r="G139" s="3" t="str">
        <f>CLEAN("ILLINOIS STATE LINE - MADISON")</f>
        <v>ILLINOIS STATE LINE - MADISON</v>
      </c>
      <c r="H139" s="3" t="str">
        <f>CLEAN("CTH AB TO USH 12/18 INTCHG")</f>
        <v>CTH AB TO USH 12/18 INTCHG</v>
      </c>
      <c r="I139" s="3" t="str">
        <f>CLEAN("ITS PO FOR 1007-12-75 FY2020")</f>
        <v>ITS PO FOR 1007-12-75 FY2020</v>
      </c>
      <c r="J139" s="3">
        <v>2.2000000000000002</v>
      </c>
    </row>
    <row r="140" spans="1:10" x14ac:dyDescent="0.25">
      <c r="A140" s="3" t="str">
        <f>CLEAN("DANE")</f>
        <v>DANE</v>
      </c>
      <c r="B140" s="6" t="str">
        <f>CLEAN("1206-06-08")</f>
        <v>1206-06-08</v>
      </c>
      <c r="C140" s="6" t="str">
        <f>CLEAN("1206-06-89")</f>
        <v>1206-06-89</v>
      </c>
      <c r="D140" s="6">
        <v>2020</v>
      </c>
      <c r="E140" s="6" t="str">
        <f>CLEAN("USH-012")</f>
        <v>USH-012</v>
      </c>
      <c r="F140" s="4">
        <v>44037</v>
      </c>
      <c r="G140" s="3" t="str">
        <f>CLEAN("MADISON - CAMBRIDGE")</f>
        <v>MADISON - CAMBRIDGE</v>
      </c>
      <c r="H140" s="3" t="str">
        <f>CLEAN("WHITNEY WAY TO IH 39/90")</f>
        <v>WHITNEY WAY TO IH 39/90</v>
      </c>
      <c r="I140" s="3" t="str">
        <f>CLEAN("ELEC PREP INCIDENTAL TO 1206-06-79")</f>
        <v>ELEC PREP INCIDENTAL TO 1206-06-79</v>
      </c>
      <c r="J140" s="3">
        <v>10.388</v>
      </c>
    </row>
    <row r="141" spans="1:10" x14ac:dyDescent="0.25">
      <c r="A141" s="3" t="str">
        <f>CLEAN("DANE")</f>
        <v>DANE</v>
      </c>
      <c r="B141" s="6" t="str">
        <f>CLEAN("1206-06-08")</f>
        <v>1206-06-08</v>
      </c>
      <c r="C141" s="6" t="str">
        <f>CLEAN("1206-06-79")</f>
        <v>1206-06-79</v>
      </c>
      <c r="D141" s="6">
        <v>2021</v>
      </c>
      <c r="E141" s="6" t="str">
        <f>CLEAN("USH-012")</f>
        <v>USH-012</v>
      </c>
      <c r="F141" s="4">
        <v>44173</v>
      </c>
      <c r="G141" s="3" t="str">
        <f>CLEAN("MADISON - CAMBRIDGE")</f>
        <v>MADISON - CAMBRIDGE</v>
      </c>
      <c r="H141" s="3" t="str">
        <f>CLEAN("WHITNEY WAY TO IH 39/90")</f>
        <v>WHITNEY WAY TO IH 39/90</v>
      </c>
      <c r="I141" s="3" t="str">
        <f>CLEAN("CONST/RESURFACE BOTH ROADWAYS")</f>
        <v>CONST/RESURFACE BOTH ROADWAYS</v>
      </c>
      <c r="J141" s="3">
        <v>10.393000000000001</v>
      </c>
    </row>
    <row r="142" spans="1:10" x14ac:dyDescent="0.25">
      <c r="A142" s="3" t="str">
        <f>CLEAN("DANE")</f>
        <v>DANE</v>
      </c>
      <c r="B142" s="6" t="str">
        <f>CLEAN("3070-04-31")</f>
        <v>3070-04-31</v>
      </c>
      <c r="C142" s="6" t="str">
        <f>CLEAN("3070-04-61")</f>
        <v>3070-04-61</v>
      </c>
      <c r="D142" s="6">
        <v>2021</v>
      </c>
      <c r="E142" s="6" t="str">
        <f>CLEAN("STH-073")</f>
        <v>STH-073</v>
      </c>
      <c r="F142" s="4">
        <v>44173</v>
      </c>
      <c r="G142" s="3" t="str">
        <f>CLEAN("I39 - COLUMBUS")</f>
        <v>I39 - COLUMBUS</v>
      </c>
      <c r="H142" s="3" t="str">
        <f>CLEAN("NORTH STREET TO SCHOOL STREET")</f>
        <v>NORTH STREET TO SCHOOL STREET</v>
      </c>
      <c r="I142" s="3" t="str">
        <f>CLEAN("CONST/ MILL AND OVERLAY")</f>
        <v>CONST/ MILL AND OVERLAY</v>
      </c>
      <c r="J142" s="3">
        <v>7.4210000000000003</v>
      </c>
    </row>
    <row r="143" spans="1:10" x14ac:dyDescent="0.25">
      <c r="A143" s="3" t="str">
        <f>CLEAN("DANE")</f>
        <v>DANE</v>
      </c>
      <c r="B143" s="6" t="str">
        <f>CLEAN("5310-02-06")</f>
        <v>5310-02-06</v>
      </c>
      <c r="C143" s="6" t="str">
        <f>CLEAN("5310-02-76")</f>
        <v>5310-02-76</v>
      </c>
      <c r="D143" s="6">
        <v>2021</v>
      </c>
      <c r="E143" s="6" t="str">
        <f>CLEAN("USH-014")</f>
        <v>USH-014</v>
      </c>
      <c r="F143" s="4">
        <v>44208</v>
      </c>
      <c r="G143" s="3" t="str">
        <f>CLEAN("SPRING GREEN - MADISON")</f>
        <v>SPRING GREEN - MADISON</v>
      </c>
      <c r="H143" s="3" t="str">
        <f>CLEAN("WALTER ROAD TO CTH KP")</f>
        <v>WALTER ROAD TO CTH KP</v>
      </c>
      <c r="I143" s="3" t="str">
        <f>CLEAN("CONT OPS/GRADE  BASE  AND SURFACE")</f>
        <v>CONT OPS/GRADE  BASE  AND SURFACE</v>
      </c>
      <c r="J143" s="3">
        <v>0.72</v>
      </c>
    </row>
    <row r="144" spans="1:10" x14ac:dyDescent="0.25">
      <c r="A144" s="3" t="str">
        <f>CLEAN("DANE")</f>
        <v>DANE</v>
      </c>
      <c r="B144" s="6" t="str">
        <f>CLEAN("5310-02-06")</f>
        <v>5310-02-06</v>
      </c>
      <c r="C144" s="6" t="str">
        <f>CLEAN("5310-02-77")</f>
        <v>5310-02-77</v>
      </c>
      <c r="D144" s="6">
        <v>2021</v>
      </c>
      <c r="E144" s="6" t="str">
        <f>CLEAN("USH-014")</f>
        <v>USH-014</v>
      </c>
      <c r="F144" s="4">
        <v>44208</v>
      </c>
      <c r="G144" s="3" t="str">
        <f>CLEAN("SPRING GREEN - MADISON")</f>
        <v>SPRING GREEN - MADISON</v>
      </c>
      <c r="H144" s="3" t="str">
        <f>CLEAN("WALTER ROAD TO CTH KP")</f>
        <v>WALTER ROAD TO CTH KP</v>
      </c>
      <c r="I144" s="3" t="str">
        <f>CLEAN("CONT OPS/SANITARY SEWER")</f>
        <v>CONT OPS/SANITARY SEWER</v>
      </c>
      <c r="J144" s="3">
        <v>0.72</v>
      </c>
    </row>
    <row r="145" spans="1:10" x14ac:dyDescent="0.25">
      <c r="A145" s="3" t="str">
        <f>CLEAN("DANE")</f>
        <v>DANE</v>
      </c>
      <c r="B145" s="6" t="str">
        <f>CLEAN("1690-01-04")</f>
        <v>1690-01-04</v>
      </c>
      <c r="C145" s="6" t="str">
        <f>CLEAN("1690-01-74")</f>
        <v>1690-01-74</v>
      </c>
      <c r="D145" s="6">
        <v>2021</v>
      </c>
      <c r="E145" s="6" t="str">
        <f>CLEAN("STH-069")</f>
        <v>STH-069</v>
      </c>
      <c r="F145" s="4">
        <v>44264</v>
      </c>
      <c r="G145" s="3" t="str">
        <f>CLEAN("NEW GLARUS - VERONA")</f>
        <v>NEW GLARUS - VERONA</v>
      </c>
      <c r="H145" s="3" t="str">
        <f>CLEAN("SOUTH COUNTY LINE TO GEHIN STREET")</f>
        <v>SOUTH COUNTY LINE TO GEHIN STREET</v>
      </c>
      <c r="I145" s="3" t="str">
        <f>CLEAN("CONST/ MILL &amp; OVERLAY")</f>
        <v>CONST/ MILL &amp; OVERLAY</v>
      </c>
      <c r="J145" s="3">
        <v>3.89</v>
      </c>
    </row>
    <row r="146" spans="1:10" x14ac:dyDescent="0.25">
      <c r="A146" s="3" t="str">
        <f>CLEAN("DANE")</f>
        <v>DANE</v>
      </c>
      <c r="B146" s="6" t="str">
        <f>CLEAN("1007-10-01")</f>
        <v>1007-10-01</v>
      </c>
      <c r="C146" s="6" t="str">
        <f>CLEAN("1007-11-99")</f>
        <v>1007-11-99</v>
      </c>
      <c r="D146" s="6">
        <v>2021</v>
      </c>
      <c r="E146" s="6" t="str">
        <f>CLEAN("IH -039")</f>
        <v>IH -039</v>
      </c>
      <c r="F146" s="4">
        <v>44280</v>
      </c>
      <c r="G146" s="3" t="str">
        <f>CLEAN("ILLINOIS STATE LINE - MADISON")</f>
        <v>ILLINOIS STATE LINE - MADISON</v>
      </c>
      <c r="H146" s="3" t="str">
        <f>CLEAN("S. DANE COUNTY LINE - BELTLINE")</f>
        <v>S. DANE COUNTY LINE - BELTLINE</v>
      </c>
      <c r="I146" s="3" t="str">
        <f>CLEAN("FST NORTH SEGMENT/FY 2021")</f>
        <v>FST NORTH SEGMENT/FY 2021</v>
      </c>
      <c r="J146" s="3">
        <v>0</v>
      </c>
    </row>
    <row r="147" spans="1:10" x14ac:dyDescent="0.25">
      <c r="A147" s="3" t="str">
        <f>CLEAN("DANE")</f>
        <v>DANE</v>
      </c>
      <c r="B147" s="6" t="str">
        <f>CLEAN("1200-01-03")</f>
        <v>1200-01-03</v>
      </c>
      <c r="C147" s="6" t="str">
        <f>CLEAN("1200-01-83")</f>
        <v>1200-01-83</v>
      </c>
      <c r="D147" s="6">
        <v>2021</v>
      </c>
      <c r="E147" s="6" t="str">
        <f>CLEAN("USH-012")</f>
        <v>USH-012</v>
      </c>
      <c r="F147" s="4">
        <v>44327</v>
      </c>
      <c r="G147" s="3" t="str">
        <f>CLEAN("MADISON - CAMBRIDGE")</f>
        <v>MADISON - CAMBRIDGE</v>
      </c>
      <c r="H147" s="3" t="str">
        <f>CLEAN("DUTCH MILL PARK &amp; RIDE RESURFACING")</f>
        <v>DUTCH MILL PARK &amp; RIDE RESURFACING</v>
      </c>
      <c r="I147" s="3" t="str">
        <f>CLEAN("CONST/RESURFACE EAST LOT")</f>
        <v>CONST/RESURFACE EAST LOT</v>
      </c>
      <c r="J147" s="3">
        <v>4.0000000000000001E-3</v>
      </c>
    </row>
    <row r="148" spans="1:10" x14ac:dyDescent="0.25">
      <c r="A148" s="3" t="str">
        <f>CLEAN("DANE")</f>
        <v>DANE</v>
      </c>
      <c r="B148" s="6" t="str">
        <f>CLEAN("5155-00-09")</f>
        <v>5155-00-09</v>
      </c>
      <c r="C148" s="6" t="str">
        <f>CLEAN("5155-00-79")</f>
        <v>5155-00-79</v>
      </c>
      <c r="D148" s="6">
        <v>2021</v>
      </c>
      <c r="E148" s="6" t="str">
        <f>CLEAN("USH-014")</f>
        <v>USH-014</v>
      </c>
      <c r="F148" s="4">
        <v>44327</v>
      </c>
      <c r="G148" s="3" t="str">
        <f>CLEAN("MADISON - EVANSVILLE")</f>
        <v>MADISON - EVANSVILLE</v>
      </c>
      <c r="H148" s="3" t="str">
        <f>CLEAN("STH 92 INTERSECTION")</f>
        <v>STH 92 INTERSECTION</v>
      </c>
      <c r="I148" s="3" t="str">
        <f>CLEAN("CONST/INTERSECTION IMPROVEMENT")</f>
        <v>CONST/INTERSECTION IMPROVEMENT</v>
      </c>
      <c r="J148" s="3">
        <v>0.56999999999999995</v>
      </c>
    </row>
    <row r="149" spans="1:10" x14ac:dyDescent="0.25">
      <c r="A149" s="3" t="str">
        <f>CLEAN("DANE")</f>
        <v>DANE</v>
      </c>
      <c r="B149" s="6" t="str">
        <f>CLEAN("5155-04-05")</f>
        <v>5155-04-05</v>
      </c>
      <c r="C149" s="6" t="str">
        <f>CLEAN("5155-04-81")</f>
        <v>5155-04-81</v>
      </c>
      <c r="D149" s="6">
        <v>2021</v>
      </c>
      <c r="E149" s="6" t="str">
        <f>CLEAN("USH-014")</f>
        <v>USH-014</v>
      </c>
      <c r="F149" s="4">
        <v>44327</v>
      </c>
      <c r="G149" s="3" t="str">
        <f>CLEAN("OREGON -EVANSVILLE")</f>
        <v>OREGON -EVANSVILLE</v>
      </c>
      <c r="H149" s="3" t="str">
        <f>CLEAN("STH 138 TO STH 92")</f>
        <v>STH 138 TO STH 92</v>
      </c>
      <c r="I149" s="3" t="str">
        <f>CLEAN("CONST/RESURF&amp;IMPROVE INTERSECTIONS")</f>
        <v>CONST/RESURF&amp;IMPROVE INTERSECTIONS</v>
      </c>
      <c r="J149" s="3">
        <v>4</v>
      </c>
    </row>
    <row r="150" spans="1:10" x14ac:dyDescent="0.25">
      <c r="A150" s="3" t="str">
        <f>CLEAN("DANE")</f>
        <v>DANE</v>
      </c>
      <c r="B150" s="6" t="str">
        <f>CLEAN("5310-00-10")</f>
        <v>5310-00-10</v>
      </c>
      <c r="C150" s="6" t="str">
        <f>CLEAN("5310-00-70")</f>
        <v>5310-00-70</v>
      </c>
      <c r="D150" s="6">
        <v>2022</v>
      </c>
      <c r="E150" s="6" t="str">
        <f>CLEAN("USH-014")</f>
        <v>USH-014</v>
      </c>
      <c r="F150" s="4">
        <v>44418</v>
      </c>
      <c r="G150" s="3" t="str">
        <f>CLEAN("SPRING GREEN - MADISON")</f>
        <v>SPRING GREEN - MADISON</v>
      </c>
      <c r="H150" s="3" t="str">
        <f>CLEAN("STH 19/STH 78/WOLF RD INTERSECTION")</f>
        <v>STH 19/STH 78/WOLF RD INTERSECTION</v>
      </c>
      <c r="I150" s="3" t="str">
        <f>CLEAN("CONST/OFFSET RIGHT TURN LANE")</f>
        <v>CONST/OFFSET RIGHT TURN LANE</v>
      </c>
      <c r="J150" s="3">
        <v>0</v>
      </c>
    </row>
    <row r="151" spans="1:10" x14ac:dyDescent="0.25">
      <c r="A151" s="3" t="str">
        <f>CLEAN("DANE")</f>
        <v>DANE</v>
      </c>
      <c r="B151" s="6" t="str">
        <f>CLEAN("5601-00-30")</f>
        <v>5601-00-30</v>
      </c>
      <c r="C151" s="6" t="str">
        <f>CLEAN("5601-00-60")</f>
        <v>5601-00-60</v>
      </c>
      <c r="D151" s="6">
        <v>2022</v>
      </c>
      <c r="E151" s="6" t="str">
        <f>CLEAN("STH-078")</f>
        <v>STH-078</v>
      </c>
      <c r="F151" s="4">
        <v>44418</v>
      </c>
      <c r="G151" s="3" t="str">
        <f>CLEAN("BLACK EARTH - SAUK CITY")</f>
        <v>BLACK EARTH - SAUK CITY</v>
      </c>
      <c r="H151" s="3" t="str">
        <f>CLEAN("USH 14 TO USH 12")</f>
        <v>USH 14 TO USH 12</v>
      </c>
      <c r="I151" s="3" t="str">
        <f>CLEAN("CONST/ MILL AND OVERLAY")</f>
        <v>CONST/ MILL AND OVERLAY</v>
      </c>
      <c r="J151" s="3">
        <v>7.88</v>
      </c>
    </row>
    <row r="152" spans="1:10" x14ac:dyDescent="0.25">
      <c r="A152" s="3" t="str">
        <f>CLEAN("DANE")</f>
        <v>DANE</v>
      </c>
      <c r="B152" s="6" t="str">
        <f>CLEAN("5845-01-06")</f>
        <v>5845-01-06</v>
      </c>
      <c r="C152" s="6" t="str">
        <f>CLEAN("5845-01-76")</f>
        <v>5845-01-76</v>
      </c>
      <c r="D152" s="6">
        <v>2022</v>
      </c>
      <c r="E152" s="6" t="str">
        <f>CLEAN("USH-051")</f>
        <v>USH-051</v>
      </c>
      <c r="F152" s="4">
        <v>44418</v>
      </c>
      <c r="G152" s="3" t="str">
        <f>CLEAN("STOUGHTON - MADISON")</f>
        <v>STOUGHTON - MADISON</v>
      </c>
      <c r="H152" s="3" t="str">
        <f>CLEAN("STH 138 TO SILVERADO DR/HOEL AVE")</f>
        <v>STH 138 TO SILVERADO DR/HOEL AVE</v>
      </c>
      <c r="I152" s="3" t="str">
        <f>CLEAN("CONST/ROUNDABOUT/IMPROVE INTERSECT")</f>
        <v>CONST/ROUNDABOUT/IMPROVE INTERSECT</v>
      </c>
      <c r="J152" s="3">
        <v>0.191</v>
      </c>
    </row>
    <row r="153" spans="1:10" x14ac:dyDescent="0.25">
      <c r="A153" s="3" t="str">
        <f>CLEAN("DANE")</f>
        <v>DANE</v>
      </c>
      <c r="B153" s="6" t="str">
        <f>CLEAN("5845-01-08")</f>
        <v>5845-01-08</v>
      </c>
      <c r="C153" s="6" t="str">
        <f>CLEAN("5845-01-78")</f>
        <v>5845-01-78</v>
      </c>
      <c r="D153" s="6">
        <v>2022</v>
      </c>
      <c r="E153" s="6" t="str">
        <f>CLEAN("USH-051")</f>
        <v>USH-051</v>
      </c>
      <c r="F153" s="4">
        <v>44418</v>
      </c>
      <c r="G153" s="3" t="str">
        <f>CLEAN("STOUGHTON - MADISON")</f>
        <v>STOUGHTON - MADISON</v>
      </c>
      <c r="H153" s="3" t="str">
        <f>CLEAN("ROBY ROAD INTERSECTION")</f>
        <v>ROBY ROAD INTERSECTION</v>
      </c>
      <c r="I153" s="3" t="str">
        <f>CLEAN("CONST/IMPROVE INTERSECTION SAFETY")</f>
        <v>CONST/IMPROVE INTERSECTION SAFETY</v>
      </c>
      <c r="J153" s="3">
        <v>0.35899999999999999</v>
      </c>
    </row>
    <row r="154" spans="1:10" x14ac:dyDescent="0.25">
      <c r="A154" s="3" t="str">
        <f>CLEAN("DANE")</f>
        <v>DANE</v>
      </c>
      <c r="B154" s="6" t="str">
        <f>CLEAN("1204-08-35")</f>
        <v>1204-08-35</v>
      </c>
      <c r="C154" s="6" t="str">
        <f>CLEAN("1204-08-65")</f>
        <v>1204-08-65</v>
      </c>
      <c r="D154" s="6">
        <v>2022</v>
      </c>
      <c r="E154" s="6" t="str">
        <f>CLEAN("USH-018")</f>
        <v>USH-018</v>
      </c>
      <c r="F154" s="4">
        <v>44509</v>
      </c>
      <c r="G154" s="3" t="str">
        <f>CLEAN("MOUNT HOREB - MADISON")</f>
        <v>MOUNT HOREB - MADISON</v>
      </c>
      <c r="H154" s="3" t="str">
        <f>CLEAN("TOWN HALL ROAD TO CTH PD")</f>
        <v>TOWN HALL ROAD TO CTH PD</v>
      </c>
      <c r="I154" s="3" t="str">
        <f>CLEAN("CONST/PAVT REPAIR EB &amp; WB ROADWAYS")</f>
        <v>CONST/PAVT REPAIR EB &amp; WB ROADWAYS</v>
      </c>
      <c r="J154" s="3">
        <v>13.718999999999999</v>
      </c>
    </row>
    <row r="155" spans="1:10" x14ac:dyDescent="0.25">
      <c r="A155" s="3" t="str">
        <f>CLEAN("DANE")</f>
        <v>DANE</v>
      </c>
      <c r="B155" s="6" t="str">
        <f>CLEAN("1693-05-02")</f>
        <v>1693-05-02</v>
      </c>
      <c r="C155" s="6" t="str">
        <f>CLEAN("1693-05-72")</f>
        <v>1693-05-72</v>
      </c>
      <c r="D155" s="6">
        <v>2022</v>
      </c>
      <c r="E155" s="6" t="str">
        <f>CLEAN("STH-069")</f>
        <v>STH-069</v>
      </c>
      <c r="F155" s="4">
        <v>44509</v>
      </c>
      <c r="G155" s="3" t="str">
        <f>CLEAN("NEW GLARUS - VERONA")</f>
        <v>NEW GLARUS - VERONA</v>
      </c>
      <c r="H155" s="3" t="str">
        <f>CLEAN("CTH D TO VALLEY ROAD")</f>
        <v>CTH D TO VALLEY ROAD</v>
      </c>
      <c r="I155" s="3" t="str">
        <f>CLEAN("CONST/RECONSTRUCT B-13-0365")</f>
        <v>CONST/RECONSTRUCT B-13-0365</v>
      </c>
      <c r="J155" s="3">
        <v>8.66</v>
      </c>
    </row>
    <row r="156" spans="1:10" x14ac:dyDescent="0.25">
      <c r="A156" s="3" t="str">
        <f>CLEAN("DANE")</f>
        <v>DANE</v>
      </c>
      <c r="B156" s="6" t="str">
        <f>CLEAN("1693-05-02")</f>
        <v>1693-05-02</v>
      </c>
      <c r="C156" s="6" t="str">
        <f>CLEAN("1693-05-73")</f>
        <v>1693-05-73</v>
      </c>
      <c r="D156" s="6">
        <v>2022</v>
      </c>
      <c r="E156" s="6" t="str">
        <f>CLEAN("STH-069")</f>
        <v>STH-069</v>
      </c>
      <c r="F156" s="4">
        <v>44509</v>
      </c>
      <c r="G156" s="3" t="str">
        <f>CLEAN("NEW GLARUS - VERONA")</f>
        <v>NEW GLARUS - VERONA</v>
      </c>
      <c r="H156" s="3" t="str">
        <f>CLEAN("CTH D TO V BELLEVILLE NORTH LIMIT")</f>
        <v>CTH D TO V BELLEVILLE NORTH LIMIT</v>
      </c>
      <c r="I156" s="3" t="str">
        <f>CLEAN("CONST/ WATER MAIN")</f>
        <v>CONST/ WATER MAIN</v>
      </c>
      <c r="J156" s="3">
        <v>0.86</v>
      </c>
    </row>
    <row r="157" spans="1:10" x14ac:dyDescent="0.25">
      <c r="A157" s="3" t="str">
        <f>CLEAN("DANE")</f>
        <v>DANE</v>
      </c>
      <c r="B157" s="6" t="str">
        <f>CLEAN("5400-00-02")</f>
        <v>5400-00-02</v>
      </c>
      <c r="C157" s="6" t="str">
        <f>CLEAN("5400-00-72")</f>
        <v>5400-00-72</v>
      </c>
      <c r="D157" s="6">
        <v>2022</v>
      </c>
      <c r="E157" s="6" t="str">
        <f>CLEAN("USH-151")</f>
        <v>USH-151</v>
      </c>
      <c r="F157" s="4">
        <v>44509</v>
      </c>
      <c r="G157" s="3" t="str">
        <f>CLEAN("C MADISON  S BLAIR ST/JOHN NOLAN DR")</f>
        <v>C MADISON  S BLAIR ST/JOHN NOLAN DR</v>
      </c>
      <c r="H157" s="3" t="str">
        <f>CLEAN("WILSON/WILLIAMSON ST INTERSECTION")</f>
        <v>WILSON/WILLIAMSON ST INTERSECTION</v>
      </c>
      <c r="I157" s="3" t="str">
        <f>CLEAN("CONST/TURN LANES")</f>
        <v>CONST/TURN LANES</v>
      </c>
      <c r="J157" s="3">
        <v>0.128</v>
      </c>
    </row>
    <row r="158" spans="1:10" x14ac:dyDescent="0.25">
      <c r="A158" s="3" t="str">
        <f>CLEAN("DANE")</f>
        <v>DANE</v>
      </c>
      <c r="B158" s="6" t="str">
        <f>CLEAN("5400-00-03")</f>
        <v>5400-00-03</v>
      </c>
      <c r="C158" s="6" t="str">
        <f>CLEAN("5400-00-73")</f>
        <v>5400-00-73</v>
      </c>
      <c r="D158" s="6">
        <v>2022</v>
      </c>
      <c r="E158" s="6" t="str">
        <f>CLEAN("USH-151")</f>
        <v>USH-151</v>
      </c>
      <c r="F158" s="4">
        <v>44509</v>
      </c>
      <c r="G158" s="3" t="str">
        <f>CLEAN("C MADISON  BLAIR ST/E WASHINGTON AV")</f>
        <v>C MADISON  BLAIR ST/E WASHINGTON AV</v>
      </c>
      <c r="H158" s="3" t="str">
        <f>CLEAN("E WILSON ST TO BLOUNT ST")</f>
        <v>E WILSON ST TO BLOUNT ST</v>
      </c>
      <c r="I158" s="3" t="str">
        <f>CLEAN("CONST/ PAVEMENT REPLACEMENT")</f>
        <v>CONST/ PAVEMENT REPLACEMENT</v>
      </c>
      <c r="J158" s="3">
        <v>0.32200000000000001</v>
      </c>
    </row>
    <row r="159" spans="1:10" x14ac:dyDescent="0.25">
      <c r="A159" s="3" t="str">
        <f>CLEAN("DANE")</f>
        <v>DANE</v>
      </c>
      <c r="B159" s="6" t="str">
        <f>CLEAN("5400-00-03")</f>
        <v>5400-00-03</v>
      </c>
      <c r="C159" s="6" t="str">
        <f>CLEAN("5400-00-74")</f>
        <v>5400-00-74</v>
      </c>
      <c r="D159" s="6">
        <v>2022</v>
      </c>
      <c r="E159" s="6" t="str">
        <f>CLEAN("USH-151")</f>
        <v>USH-151</v>
      </c>
      <c r="F159" s="4">
        <v>44509</v>
      </c>
      <c r="G159" s="3" t="str">
        <f>CLEAN("C MADISON  BLAIR ST/E WASHINGTON AV")</f>
        <v>C MADISON  BLAIR ST/E WASHINGTON AV</v>
      </c>
      <c r="H159" s="3" t="str">
        <f>CLEAN("E WILSON ST TO BLOUNT ST")</f>
        <v>E WILSON ST TO BLOUNT ST</v>
      </c>
      <c r="I159" s="3" t="str">
        <f>CLEAN("CONST/WATER MAIN &amp; SANITARY SEWER")</f>
        <v>CONST/WATER MAIN &amp; SANITARY SEWER</v>
      </c>
      <c r="J159" s="3">
        <v>0.32200000000000001</v>
      </c>
    </row>
    <row r="160" spans="1:10" x14ac:dyDescent="0.25">
      <c r="A160" s="3" t="str">
        <f>CLEAN("DANE")</f>
        <v>DANE</v>
      </c>
      <c r="B160" s="6" t="str">
        <f>CLEAN("1010-01-32")</f>
        <v>1010-01-32</v>
      </c>
      <c r="C160" s="6" t="str">
        <f>CLEAN("1010-01-62")</f>
        <v>1010-01-62</v>
      </c>
      <c r="D160" s="6">
        <v>2022</v>
      </c>
      <c r="E160" s="6" t="str">
        <f>CLEAN("IH -039")</f>
        <v>IH -039</v>
      </c>
      <c r="F160" s="4">
        <v>44544</v>
      </c>
      <c r="G160" s="3" t="str">
        <f>CLEAN("MADISON - PORTAGE")</f>
        <v>MADISON - PORTAGE</v>
      </c>
      <c r="H160" s="3" t="str">
        <f>CLEAN("USH 51 BRIDGES B-13-98 &amp; B-13-99")</f>
        <v>USH 51 BRIDGES B-13-98 &amp; B-13-99</v>
      </c>
      <c r="I160" s="3" t="str">
        <f>CLEAN("CONST/THIN POLYMER OVERLAYS")</f>
        <v>CONST/THIN POLYMER OVERLAYS</v>
      </c>
      <c r="J160" s="3">
        <v>0.05</v>
      </c>
    </row>
    <row r="161" spans="1:10" x14ac:dyDescent="0.25">
      <c r="A161" s="3" t="str">
        <f>CLEAN("DANE")</f>
        <v>DANE</v>
      </c>
      <c r="B161" s="6" t="str">
        <f>CLEAN("1011-02-35")</f>
        <v>1011-02-35</v>
      </c>
      <c r="C161" s="6" t="str">
        <f>CLEAN("1011-02-65")</f>
        <v>1011-02-65</v>
      </c>
      <c r="D161" s="6">
        <v>2022</v>
      </c>
      <c r="E161" s="6" t="str">
        <f>CLEAN("IH -039")</f>
        <v>IH -039</v>
      </c>
      <c r="F161" s="4">
        <v>44544</v>
      </c>
      <c r="G161" s="3" t="str">
        <f>CLEAN("MADISON - PORTAGE")</f>
        <v>MADISON - PORTAGE</v>
      </c>
      <c r="H161" s="3" t="str">
        <f>CLEAN("STH 19 IC B-13-91  92  93  94  297")</f>
        <v>STH 19 IC B-13-91  92  93  94  297</v>
      </c>
      <c r="I161" s="3" t="str">
        <f>CLEAN("CONST/THIN POLYMER OVERLAYS")</f>
        <v>CONST/THIN POLYMER OVERLAYS</v>
      </c>
      <c r="J161" s="3">
        <v>2.5000000000000001E-2</v>
      </c>
    </row>
    <row r="162" spans="1:10" x14ac:dyDescent="0.25">
      <c r="A162" s="3" t="str">
        <f>CLEAN("DANE")</f>
        <v>DANE</v>
      </c>
      <c r="B162" s="6" t="str">
        <f>CLEAN("1204-05-03")</f>
        <v>1204-05-03</v>
      </c>
      <c r="C162" s="6" t="str">
        <f>CLEAN("1204-05-73")</f>
        <v>1204-05-73</v>
      </c>
      <c r="D162" s="6">
        <v>2023</v>
      </c>
      <c r="E162" s="6" t="str">
        <f>CLEAN("USH-018")</f>
        <v>USH-018</v>
      </c>
      <c r="F162" s="4">
        <v>44873</v>
      </c>
      <c r="G162" s="3" t="str">
        <f>CLEAN("DODGEVILLE - MOUNT HOREB")</f>
        <v>DODGEVILLE - MOUNT HOREB</v>
      </c>
      <c r="H162" s="3" t="str">
        <f>CLEAN("W COUNTY LINE TO TOWN HALL ROAD")</f>
        <v>W COUNTY LINE TO TOWN HALL ROAD</v>
      </c>
      <c r="I162" s="3" t="str">
        <f>CLEAN("CONST/RESURFACE EB &amp; WB")</f>
        <v>CONST/RESURFACE EB &amp; WB</v>
      </c>
      <c r="J162" s="3">
        <v>7.93</v>
      </c>
    </row>
    <row r="163" spans="1:10" x14ac:dyDescent="0.25">
      <c r="A163" s="3" t="str">
        <f>CLEAN("DANE")</f>
        <v>DANE</v>
      </c>
      <c r="B163" s="6" t="str">
        <f>CLEAN("3060-03-00")</f>
        <v>3060-03-00</v>
      </c>
      <c r="C163" s="6" t="str">
        <f>CLEAN("3060-03-70")</f>
        <v>3060-03-70</v>
      </c>
      <c r="D163" s="6">
        <v>2023</v>
      </c>
      <c r="E163" s="6" t="str">
        <f>CLEAN("STH-073")</f>
        <v>STH-073</v>
      </c>
      <c r="F163" s="4">
        <v>44873</v>
      </c>
      <c r="G163" s="3" t="str">
        <f>CLEAN("I39 - COLUMBUS")</f>
        <v>I39 - COLUMBUS</v>
      </c>
      <c r="H163" s="3" t="str">
        <f>CLEAN("N MARSHALL V LIMIT TO DEANSVILLE RD")</f>
        <v>N MARSHALL V LIMIT TO DEANSVILLE RD</v>
      </c>
      <c r="I163" s="3" t="str">
        <f>CLEAN("CONST/ MILL AND OVERLAY")</f>
        <v>CONST/ MILL AND OVERLAY</v>
      </c>
      <c r="J163" s="3">
        <v>9.43</v>
      </c>
    </row>
    <row r="164" spans="1:10" x14ac:dyDescent="0.25">
      <c r="A164" s="3" t="str">
        <f>CLEAN("DANE")</f>
        <v>DANE</v>
      </c>
      <c r="B164" s="6" t="str">
        <f>CLEAN("5145-00-01")</f>
        <v>5145-00-01</v>
      </c>
      <c r="C164" s="6" t="str">
        <f>CLEAN("5145-00-71")</f>
        <v>5145-00-71</v>
      </c>
      <c r="D164" s="6">
        <v>2023</v>
      </c>
      <c r="E164" s="6" t="str">
        <f>CLEAN("STH-019")</f>
        <v>STH-019</v>
      </c>
      <c r="F164" s="4">
        <v>44873</v>
      </c>
      <c r="G164" s="3" t="str">
        <f>CLEAN("MAZOMANIE - USH 12")</f>
        <v>MAZOMANIE - USH 12</v>
      </c>
      <c r="H164" s="3" t="str">
        <f>CLEAN("STH 78 TO USH 12")</f>
        <v>STH 78 TO USH 12</v>
      </c>
      <c r="I164" s="3" t="str">
        <f>CLEAN("CONST/PULVERIZ&amp;O'LAY/B13-0796 -0797")</f>
        <v>CONST/PULVERIZ&amp;O'LAY/B13-0796 -0797</v>
      </c>
      <c r="J164" s="3">
        <v>9.56</v>
      </c>
    </row>
    <row r="165" spans="1:10" x14ac:dyDescent="0.25">
      <c r="A165" s="3" t="str">
        <f>CLEAN("DANE")</f>
        <v>DANE</v>
      </c>
      <c r="B165" s="6" t="str">
        <f>CLEAN("3670-00-04")</f>
        <v>3670-00-04</v>
      </c>
      <c r="C165" s="6" t="str">
        <f>CLEAN("3670-00-74")</f>
        <v>3670-00-74</v>
      </c>
      <c r="D165" s="6">
        <v>2023</v>
      </c>
      <c r="E165" s="6" t="str">
        <f>CLEAN("STH-089")</f>
        <v>STH-089</v>
      </c>
      <c r="F165" s="4">
        <v>44908</v>
      </c>
      <c r="G165" s="3" t="str">
        <f>CLEAN("LAKE MILLS - COLUMBUS")</f>
        <v>LAKE MILLS - COLUMBUS</v>
      </c>
      <c r="H165" s="3" t="str">
        <f>CLEAN("CLARKSON ROAD TO AVALON ROAD")</f>
        <v>CLARKSON ROAD TO AVALON ROAD</v>
      </c>
      <c r="I165" s="3" t="str">
        <f>CLEAN("CONST/ MILL AND OVERLAY")</f>
        <v>CONST/ MILL AND OVERLAY</v>
      </c>
      <c r="J165" s="3">
        <v>9.83</v>
      </c>
    </row>
    <row r="166" spans="1:10" x14ac:dyDescent="0.25">
      <c r="A166" s="3" t="str">
        <f>CLEAN("DANE")</f>
        <v>DANE</v>
      </c>
      <c r="B166" s="6" t="str">
        <f>CLEAN("5280-03-00")</f>
        <v>5280-03-00</v>
      </c>
      <c r="C166" s="6" t="str">
        <f>CLEAN("5280-03-70")</f>
        <v>5280-03-70</v>
      </c>
      <c r="D166" s="6">
        <v>2023</v>
      </c>
      <c r="E166" s="6" t="str">
        <f>CLEAN("STH-113")</f>
        <v>STH-113</v>
      </c>
      <c r="F166" s="4">
        <v>44908</v>
      </c>
      <c r="G166" s="3" t="str">
        <f>CLEAN("MADISON - LODI")</f>
        <v>MADISON - LODI</v>
      </c>
      <c r="H166" s="3" t="str">
        <f>CLEAN("SUNSET LANE TO CTH V")</f>
        <v>SUNSET LANE TO CTH V</v>
      </c>
      <c r="I166" s="3" t="str">
        <f>CLEAN("CONST/ PAVEMENT REPLACE/B-13-XXX")</f>
        <v>CONST/ PAVEMENT REPLACE/B-13-XXX</v>
      </c>
      <c r="J166" s="3">
        <v>3.87</v>
      </c>
    </row>
    <row r="167" spans="1:10" x14ac:dyDescent="0.25">
      <c r="A167" s="3" t="str">
        <f>CLEAN("DANE")</f>
        <v>DANE</v>
      </c>
      <c r="B167" s="6" t="str">
        <f>CLEAN("5410-00-04")</f>
        <v>5410-00-04</v>
      </c>
      <c r="C167" s="6" t="str">
        <f>CLEAN("5410-00-74")</f>
        <v>5410-00-74</v>
      </c>
      <c r="D167" s="6">
        <v>2023</v>
      </c>
      <c r="E167" s="6" t="str">
        <f>CLEAN("USH-051")</f>
        <v>USH-051</v>
      </c>
      <c r="F167" s="4">
        <v>44908</v>
      </c>
      <c r="G167" s="3" t="str">
        <f>CLEAN("MADISON - DEFOREST")</f>
        <v>MADISON - DEFOREST</v>
      </c>
      <c r="H167" s="3" t="str">
        <f>CLEAN("USH 151 TO PIERSTORFF STREET")</f>
        <v>USH 151 TO PIERSTORFF STREET</v>
      </c>
      <c r="I167" s="3" t="str">
        <f>CLEAN("CONST/ REPLACE PAVEMENT NB")</f>
        <v>CONST/ REPLACE PAVEMENT NB</v>
      </c>
      <c r="J167" s="3">
        <v>0.8</v>
      </c>
    </row>
    <row r="168" spans="1:10" x14ac:dyDescent="0.25">
      <c r="A168" s="3" t="str">
        <f>CLEAN("DANE")</f>
        <v>DANE</v>
      </c>
      <c r="B168" s="6" t="str">
        <f>CLEAN("3070-04-30")</f>
        <v>3070-04-30</v>
      </c>
      <c r="C168" s="6" t="str">
        <f>CLEAN("3070-04-60")</f>
        <v>3070-04-60</v>
      </c>
      <c r="D168" s="6">
        <v>2023</v>
      </c>
      <c r="E168" s="6" t="str">
        <f>CLEAN("STH-073")</f>
        <v>STH-073</v>
      </c>
      <c r="F168" s="4">
        <v>44936</v>
      </c>
      <c r="G168" s="3" t="str">
        <f>CLEAN("I39 - COLUMBUS")</f>
        <v>I39 - COLUMBUS</v>
      </c>
      <c r="H168" s="3" t="str">
        <f>CLEAN("SHAUL LANE TO NORTH STREET")</f>
        <v>SHAUL LANE TO NORTH STREET</v>
      </c>
      <c r="I168" s="3" t="str">
        <f>CLEAN("CONST/MILL &amp; OVERLAY WITH RECOND")</f>
        <v>CONST/MILL &amp; OVERLAY WITH RECOND</v>
      </c>
      <c r="J168" s="3">
        <v>1.6759999999999999</v>
      </c>
    </row>
    <row r="169" spans="1:10" x14ac:dyDescent="0.25">
      <c r="A169" s="3" t="str">
        <f>CLEAN("DANE")</f>
        <v>DANE</v>
      </c>
      <c r="B169" s="6" t="str">
        <f>CLEAN("5280-01-03")</f>
        <v>5280-01-03</v>
      </c>
      <c r="C169" s="6" t="str">
        <f>CLEAN("5280-01-73")</f>
        <v>5280-01-73</v>
      </c>
      <c r="D169" s="6">
        <v>2023</v>
      </c>
      <c r="E169" s="6" t="str">
        <f>CLEAN("STH-113")</f>
        <v>STH-113</v>
      </c>
      <c r="F169" s="4">
        <v>44999</v>
      </c>
      <c r="G169" s="3" t="str">
        <f>CLEAN("MADISON - LODI")</f>
        <v>MADISON - LODI</v>
      </c>
      <c r="H169" s="3" t="str">
        <f>CLEAN("CTH P/CTH V INTERSECTION")</f>
        <v>CTH P/CTH V INTERSECTION</v>
      </c>
      <c r="I169" s="3" t="str">
        <f>CLEAN("CONST/INTERSECTION IMPROVEMENTS")</f>
        <v>CONST/INTERSECTION IMPROVEMENTS</v>
      </c>
      <c r="J169" s="3">
        <v>0.318</v>
      </c>
    </row>
    <row r="170" spans="1:10" x14ac:dyDescent="0.25">
      <c r="A170" s="3" t="str">
        <f>CLEAN("DANE")</f>
        <v>DANE</v>
      </c>
      <c r="B170" s="6" t="str">
        <f>CLEAN("5490-00-32")</f>
        <v>5490-00-32</v>
      </c>
      <c r="C170" s="6" t="str">
        <f>CLEAN("5490-00-62")</f>
        <v>5490-00-62</v>
      </c>
      <c r="D170" s="6">
        <v>2024</v>
      </c>
      <c r="E170" s="6" t="str">
        <f>CLEAN("STH-030")</f>
        <v>STH-030</v>
      </c>
      <c r="F170" s="4">
        <v>45244</v>
      </c>
      <c r="G170" s="3" t="str">
        <f>CLEAN("C MADISON  STH 30")</f>
        <v>C MADISON  STH 30</v>
      </c>
      <c r="H170" s="3" t="str">
        <f>CLEAN("FAIR OAKS AVE B-13-206")</f>
        <v>FAIR OAKS AVE B-13-206</v>
      </c>
      <c r="I170" s="3" t="str">
        <f>CLEAN("CONST/ CONCRETE OVERLAYS")</f>
        <v>CONST/ CONCRETE OVERLAYS</v>
      </c>
      <c r="J170" s="3">
        <v>0.35299999999999998</v>
      </c>
    </row>
    <row r="171" spans="1:10" x14ac:dyDescent="0.25">
      <c r="A171" s="3" t="str">
        <f>CLEAN("DANE")</f>
        <v>DANE</v>
      </c>
      <c r="B171" s="6" t="str">
        <f>CLEAN("5490-00-33")</f>
        <v>5490-00-33</v>
      </c>
      <c r="C171" s="6" t="str">
        <f>CLEAN("5490-00-63")</f>
        <v>5490-00-63</v>
      </c>
      <c r="D171" s="6">
        <v>2024</v>
      </c>
      <c r="E171" s="6" t="str">
        <f>CLEAN("STH-030")</f>
        <v>STH-030</v>
      </c>
      <c r="F171" s="4">
        <v>45244</v>
      </c>
      <c r="G171" s="3" t="str">
        <f>CLEAN("C MADISON  STH 30")</f>
        <v>C MADISON  STH 30</v>
      </c>
      <c r="H171" s="3" t="str">
        <f>CLEAN("FAIR OAKS AVENUE TO IH 39 RAMP")</f>
        <v>FAIR OAKS AVENUE TO IH 39 RAMP</v>
      </c>
      <c r="I171" s="3" t="str">
        <f>CLEAN("CONST/ CONCRETE JOINT REPAIR")</f>
        <v>CONST/ CONCRETE JOINT REPAIR</v>
      </c>
      <c r="J171" s="3">
        <v>0</v>
      </c>
    </row>
    <row r="172" spans="1:10" x14ac:dyDescent="0.25">
      <c r="A172" s="3" t="str">
        <f>CLEAN("DANE")</f>
        <v>DANE</v>
      </c>
      <c r="B172" s="6" t="str">
        <f>CLEAN("5845-01-00")</f>
        <v>5845-01-00</v>
      </c>
      <c r="C172" s="6" t="str">
        <f>CLEAN("5845-01-70")</f>
        <v>5845-01-70</v>
      </c>
      <c r="D172" s="6">
        <v>2024</v>
      </c>
      <c r="E172" s="6" t="str">
        <f>CLEAN("USH-051")</f>
        <v>USH-051</v>
      </c>
      <c r="F172" s="4">
        <v>45244</v>
      </c>
      <c r="G172" s="3" t="str">
        <f>CLEAN("STOUGHTON - MADISON")</f>
        <v>STOUGHTON - MADISON</v>
      </c>
      <c r="H172" s="3" t="str">
        <f>CLEAN("CTH B/CTH AB INTERSECTION")</f>
        <v>CTH B/CTH AB INTERSECTION</v>
      </c>
      <c r="I172" s="3" t="str">
        <f>CLEAN("CONST/INTERSECTION SAFETY/RAB")</f>
        <v>CONST/INTERSECTION SAFETY/RAB</v>
      </c>
      <c r="J172" s="3">
        <v>0.28000000000000003</v>
      </c>
    </row>
    <row r="173" spans="1:10" x14ac:dyDescent="0.25">
      <c r="A173" s="3" t="str">
        <f>CLEAN("DANE")</f>
        <v>DANE</v>
      </c>
      <c r="B173" s="6" t="str">
        <f>CLEAN("5926-05-30")</f>
        <v>5926-05-30</v>
      </c>
      <c r="C173" s="6" t="str">
        <f>CLEAN("5926-05-60")</f>
        <v>5926-05-60</v>
      </c>
      <c r="D173" s="6">
        <v>2024</v>
      </c>
      <c r="E173" s="6" t="str">
        <f>CLEAN("STH-092")</f>
        <v>STH-092</v>
      </c>
      <c r="F173" s="4">
        <v>45244</v>
      </c>
      <c r="G173" s="3" t="str">
        <f>CLEAN("MT HOREB - BROOKLYN")</f>
        <v>MT HOREB - BROOKLYN</v>
      </c>
      <c r="H173" s="3" t="str">
        <f>CLEAN("E JCT CTH G TO STH 69")</f>
        <v>E JCT CTH G TO STH 69</v>
      </c>
      <c r="I173" s="3" t="str">
        <f>CLEAN("CONST/ MILL AND OVERLAY")</f>
        <v>CONST/ MILL AND OVERLAY</v>
      </c>
      <c r="J173" s="3">
        <v>7.3440000000000003</v>
      </c>
    </row>
    <row r="174" spans="1:10" x14ac:dyDescent="0.25">
      <c r="A174" s="3" t="str">
        <f>CLEAN("DANE")</f>
        <v>DANE</v>
      </c>
      <c r="B174" s="6" t="str">
        <f>CLEAN("3060-03-01")</f>
        <v>3060-03-01</v>
      </c>
      <c r="C174" s="6" t="str">
        <f>CLEAN("3060-03-71")</f>
        <v>3060-03-71</v>
      </c>
      <c r="D174" s="6">
        <v>2025</v>
      </c>
      <c r="E174" s="6" t="str">
        <f>CLEAN("STH-073")</f>
        <v>STH-073</v>
      </c>
      <c r="F174" s="4">
        <v>45636</v>
      </c>
      <c r="G174" s="3" t="str">
        <f>CLEAN("I39 - COLUMBUS")</f>
        <v>I39 - COLUMBUS</v>
      </c>
      <c r="H174" s="3" t="str">
        <f>CLEAN("STH 19 TO N MARSHALL V LIMIT")</f>
        <v>STH 19 TO N MARSHALL V LIMIT</v>
      </c>
      <c r="I174" s="3" t="str">
        <f>CLEAN("CONST/ PAVEMENT REPLACEMENT")</f>
        <v>CONST/ PAVEMENT REPLACEMENT</v>
      </c>
      <c r="J174" s="3">
        <v>1.36</v>
      </c>
    </row>
    <row r="175" spans="1:10" x14ac:dyDescent="0.25">
      <c r="A175" s="3" t="str">
        <f>CLEAN("DANE")</f>
        <v>DANE</v>
      </c>
      <c r="B175" s="6" t="str">
        <f>CLEAN("5420-02-02")</f>
        <v>5420-02-02</v>
      </c>
      <c r="C175" s="6" t="str">
        <f>CLEAN("5420-02-72")</f>
        <v>5420-02-72</v>
      </c>
      <c r="D175" s="6">
        <v>2025</v>
      </c>
      <c r="E175" s="6" t="str">
        <f>CLEAN("STH-113")</f>
        <v>STH-113</v>
      </c>
      <c r="F175" s="4">
        <v>45636</v>
      </c>
      <c r="G175" s="3" t="str">
        <f>CLEAN("MADISON - LODI")</f>
        <v>MADISON - LODI</v>
      </c>
      <c r="H175" s="3" t="str">
        <f>CLEAN("KNUTSON DRIVE TO STH 19")</f>
        <v>KNUTSON DRIVE TO STH 19</v>
      </c>
      <c r="I175" s="3" t="str">
        <f>CLEAN("CONST/ PAVE REPLACE")</f>
        <v>CONST/ PAVE REPLACE</v>
      </c>
      <c r="J175" s="3">
        <v>3.41</v>
      </c>
    </row>
    <row r="176" spans="1:10" x14ac:dyDescent="0.25">
      <c r="A176" s="3" t="str">
        <f>CLEAN("DANE")</f>
        <v>DANE</v>
      </c>
      <c r="B176" s="6" t="str">
        <f>CLEAN("5280-03-01")</f>
        <v>5280-03-01</v>
      </c>
      <c r="C176" s="6" t="str">
        <f>CLEAN("5280-03-71")</f>
        <v>5280-03-71</v>
      </c>
      <c r="D176" s="6">
        <v>2027</v>
      </c>
      <c r="E176" s="6" t="str">
        <f>CLEAN("STH-113")</f>
        <v>STH-113</v>
      </c>
      <c r="F176" s="4">
        <v>46364</v>
      </c>
      <c r="G176" s="3" t="str">
        <f>CLEAN("MADISON - LODI")</f>
        <v>MADISON - LODI</v>
      </c>
      <c r="H176" s="3" t="str">
        <f>CLEAN("CTH V TO CTH P")</f>
        <v>CTH V TO CTH P</v>
      </c>
      <c r="I176" s="3" t="str">
        <f>CLEAN("CONST/ PAVE REPLACE")</f>
        <v>CONST/ PAVE REPLACE</v>
      </c>
      <c r="J176" s="3">
        <v>2.8220000000000001</v>
      </c>
    </row>
    <row r="177" spans="1:10" x14ac:dyDescent="0.25">
      <c r="A177" s="3"/>
      <c r="B177" s="6"/>
      <c r="C177" s="6"/>
      <c r="D177" s="6"/>
      <c r="E177" s="6"/>
      <c r="F177" s="4"/>
      <c r="G177" s="3"/>
      <c r="H177" s="3"/>
      <c r="I177" s="3"/>
      <c r="J177" s="3"/>
    </row>
    <row r="178" spans="1:10" x14ac:dyDescent="0.25">
      <c r="A178" s="3" t="str">
        <f>CLEAN("DODGE")</f>
        <v>DODGE</v>
      </c>
      <c r="B178" s="6" t="str">
        <f>CLEAN("6070-02-80")</f>
        <v>6070-02-80</v>
      </c>
      <c r="C178" s="6" t="str">
        <f>CLEAN("6070-02-80")</f>
        <v>6070-02-80</v>
      </c>
      <c r="D178" s="6">
        <v>2020</v>
      </c>
      <c r="E178" s="6" t="str">
        <f>CLEAN("STH-068")</f>
        <v>STH-068</v>
      </c>
      <c r="F178" s="4">
        <v>43733</v>
      </c>
      <c r="G178" s="3" t="str">
        <f>CLEAN("FOX LAKE - WAUPUN")</f>
        <v>FOX LAKE - WAUPUN</v>
      </c>
      <c r="H178" s="3" t="str">
        <f>CLEAN("EDGELAWN DRIVE TO WEST STREET")</f>
        <v>EDGELAWN DRIVE TO WEST STREET</v>
      </c>
      <c r="I178" s="3" t="str">
        <f>CLEAN("LFA/ REPLACE PIPE CULVERTS")</f>
        <v>LFA/ REPLACE PIPE CULVERTS</v>
      </c>
      <c r="J178" s="3">
        <v>8.98</v>
      </c>
    </row>
    <row r="179" spans="1:10" x14ac:dyDescent="0.25">
      <c r="A179" s="3" t="str">
        <f>CLEAN("DODGE")</f>
        <v>DODGE</v>
      </c>
      <c r="B179" s="6" t="str">
        <f>CLEAN("3030-02-82")</f>
        <v>3030-02-82</v>
      </c>
      <c r="C179" s="6" t="str">
        <f>CLEAN("3030-02-82")</f>
        <v>3030-02-82</v>
      </c>
      <c r="D179" s="6">
        <v>2020</v>
      </c>
      <c r="E179" s="6" t="str">
        <f>CLEAN("STH-067")</f>
        <v>STH-067</v>
      </c>
      <c r="F179" s="4">
        <v>43855</v>
      </c>
      <c r="G179" s="3" t="str">
        <f>CLEAN("OCONOMOWOC - MAYVILLE")</f>
        <v>OCONOMOWOC - MAYVILLE</v>
      </c>
      <c r="H179" s="3" t="str">
        <f>CLEAN("WEST JCT CTH S TO RUEDEBUSCH AVE")</f>
        <v>WEST JCT CTH S TO RUEDEBUSCH AVE</v>
      </c>
      <c r="I179" s="3" t="str">
        <f>CLEAN("LFA/ REPLACE PIPE CULVERTS")</f>
        <v>LFA/ REPLACE PIPE CULVERTS</v>
      </c>
      <c r="J179" s="3">
        <v>5.32</v>
      </c>
    </row>
    <row r="180" spans="1:10" x14ac:dyDescent="0.25">
      <c r="A180" s="3" t="str">
        <f>CLEAN("DODGE")</f>
        <v>DODGE</v>
      </c>
      <c r="B180" s="6" t="str">
        <f>CLEAN("1111-03-02")</f>
        <v>1111-03-02</v>
      </c>
      <c r="C180" s="6" t="str">
        <f>CLEAN("1111-03-82")</f>
        <v>1111-03-82</v>
      </c>
      <c r="D180" s="6">
        <v>2020</v>
      </c>
      <c r="E180" s="6" t="str">
        <f>CLEAN("USH-151")</f>
        <v>USH-151</v>
      </c>
      <c r="F180" s="4">
        <v>43872</v>
      </c>
      <c r="G180" s="3" t="str">
        <f>CLEAN("SUN PRAIRIE - BEAVER DAM")</f>
        <v>SUN PRAIRIE - BEAVER DAM</v>
      </c>
      <c r="H180" s="3" t="str">
        <f>CLEAN("STH 73 TO CNW RR")</f>
        <v>STH 73 TO CNW RR</v>
      </c>
      <c r="I180" s="3" t="str">
        <f>CLEAN("CONST/RESURFACE NB &amp; SB ROADWAYS")</f>
        <v>CONST/RESURFACE NB &amp; SB ROADWAYS</v>
      </c>
      <c r="J180" s="3">
        <v>7.0839999999999996</v>
      </c>
    </row>
    <row r="181" spans="1:10" x14ac:dyDescent="0.25">
      <c r="A181" s="3" t="str">
        <f>CLEAN("DODGE")</f>
        <v>DODGE</v>
      </c>
      <c r="B181" s="6" t="str">
        <f>CLEAN("3670-00-03")</f>
        <v>3670-00-03</v>
      </c>
      <c r="C181" s="6" t="str">
        <f>CLEAN("3670-00-73")</f>
        <v>3670-00-73</v>
      </c>
      <c r="D181" s="6">
        <v>2020</v>
      </c>
      <c r="E181" s="6" t="str">
        <f>CLEAN("STH-089")</f>
        <v>STH-089</v>
      </c>
      <c r="F181" s="4">
        <v>43872</v>
      </c>
      <c r="G181" s="3" t="str">
        <f>CLEAN("LAKE MILLS - COLUMBUS")</f>
        <v>LAKE MILLS - COLUMBUS</v>
      </c>
      <c r="H181" s="3" t="str">
        <f>CLEAN("CTH T/DALMAN ROAD INTERSECTION")</f>
        <v>CTH T/DALMAN ROAD INTERSECTION</v>
      </c>
      <c r="I181" s="3" t="str">
        <f>CLEAN("CONST/INTERSECTION IMPROVE/ISLAND")</f>
        <v>CONST/INTERSECTION IMPROVE/ISLAND</v>
      </c>
      <c r="J181" s="3">
        <v>0.109</v>
      </c>
    </row>
    <row r="182" spans="1:10" x14ac:dyDescent="0.25">
      <c r="A182" s="3" t="str">
        <f>CLEAN("DODGE")</f>
        <v>DODGE</v>
      </c>
      <c r="B182" s="6" t="str">
        <f>CLEAN("1370-02-02")</f>
        <v>1370-02-02</v>
      </c>
      <c r="C182" s="6" t="str">
        <f>CLEAN("1370-02-82")</f>
        <v>1370-02-82</v>
      </c>
      <c r="D182" s="6">
        <v>2021</v>
      </c>
      <c r="E182" s="6" t="str">
        <f>CLEAN("STH-016")</f>
        <v>STH-016</v>
      </c>
      <c r="F182" s="4">
        <v>44173</v>
      </c>
      <c r="G182" s="3" t="str">
        <f>CLEAN("WATERTOWN - WAUKESHA")</f>
        <v>WATERTOWN - WAUKESHA</v>
      </c>
      <c r="H182" s="3" t="str">
        <f>CLEAN("UP RR STRUCTURE B-14-0041 -0042")</f>
        <v>UP RR STRUCTURE B-14-0041 -0042</v>
      </c>
      <c r="I182" s="3" t="str">
        <f>CLEAN("CONST/REPLACE DECK")</f>
        <v>CONST/REPLACE DECK</v>
      </c>
      <c r="J182" s="3">
        <v>0.14799999999999999</v>
      </c>
    </row>
    <row r="183" spans="1:10" x14ac:dyDescent="0.25">
      <c r="A183" s="3" t="str">
        <f>CLEAN("DODGE")</f>
        <v>DODGE</v>
      </c>
      <c r="B183" s="6" t="str">
        <f>CLEAN("6070-02-00")</f>
        <v>6070-02-00</v>
      </c>
      <c r="C183" s="6" t="str">
        <f>CLEAN("6070-02-70")</f>
        <v>6070-02-70</v>
      </c>
      <c r="D183" s="6">
        <v>2021</v>
      </c>
      <c r="E183" s="6" t="str">
        <f>CLEAN("STH-068")</f>
        <v>STH-068</v>
      </c>
      <c r="F183" s="4">
        <v>44173</v>
      </c>
      <c r="G183" s="3" t="str">
        <f>CLEAN("C WAUPUN  FOX LAKE STREET")</f>
        <v>C WAUPUN  FOX LAKE STREET</v>
      </c>
      <c r="H183" s="3" t="str">
        <f>CLEAN("WEST STREET TO STH 49")</f>
        <v>WEST STREET TO STH 49</v>
      </c>
      <c r="I183" s="3" t="str">
        <f>CLEAN("CONST/ MILL AND OVERLAY")</f>
        <v>CONST/ MILL AND OVERLAY</v>
      </c>
      <c r="J183" s="3">
        <v>0.252</v>
      </c>
    </row>
    <row r="184" spans="1:10" x14ac:dyDescent="0.25">
      <c r="A184" s="3" t="str">
        <f>CLEAN("DODGE")</f>
        <v>DODGE</v>
      </c>
      <c r="B184" s="6" t="str">
        <f>CLEAN("6070-02-30")</f>
        <v>6070-02-30</v>
      </c>
      <c r="C184" s="6" t="str">
        <f>CLEAN("6070-02-60")</f>
        <v>6070-02-60</v>
      </c>
      <c r="D184" s="6">
        <v>2021</v>
      </c>
      <c r="E184" s="6" t="str">
        <f>CLEAN("STH-068")</f>
        <v>STH-068</v>
      </c>
      <c r="F184" s="4">
        <v>44173</v>
      </c>
      <c r="G184" s="3" t="str">
        <f>CLEAN("FOX LAKE - WAUPUN")</f>
        <v>FOX LAKE - WAUPUN</v>
      </c>
      <c r="H184" s="3" t="str">
        <f>CLEAN("EDGELAWN DRIVE TO WEST STREET")</f>
        <v>EDGELAWN DRIVE TO WEST STREET</v>
      </c>
      <c r="I184" s="3" t="str">
        <f>CLEAN("CONST/ MILL AND OVERLAY")</f>
        <v>CONST/ MILL AND OVERLAY</v>
      </c>
      <c r="J184" s="3">
        <v>9.0389999999999997</v>
      </c>
    </row>
    <row r="185" spans="1:10" x14ac:dyDescent="0.25">
      <c r="A185" s="3" t="str">
        <f>CLEAN("DODGE")</f>
        <v>DODGE</v>
      </c>
      <c r="B185" s="6" t="str">
        <f>CLEAN("1400-00-04")</f>
        <v>1400-00-04</v>
      </c>
      <c r="C185" s="6" t="str">
        <f>CLEAN("1400-00-84")</f>
        <v>1400-00-84</v>
      </c>
      <c r="D185" s="6">
        <v>2021</v>
      </c>
      <c r="E185" s="6" t="str">
        <f>CLEAN("STH-016")</f>
        <v>STH-016</v>
      </c>
      <c r="F185" s="4">
        <v>44208</v>
      </c>
      <c r="G185" s="3" t="str">
        <f>CLEAN("COLUMBUS - WATERTOWN")</f>
        <v>COLUMBUS - WATERTOWN</v>
      </c>
      <c r="H185" s="3" t="str">
        <f>CLEAN("BEAVER DAM RIVER STRUCT B-14-0060")</f>
        <v>BEAVER DAM RIVER STRUCT B-14-0060</v>
      </c>
      <c r="I185" s="3" t="str">
        <f>CLEAN("CONST/REPLACE DECK")</f>
        <v>CONST/REPLACE DECK</v>
      </c>
      <c r="J185" s="3">
        <v>0.122</v>
      </c>
    </row>
    <row r="186" spans="1:10" x14ac:dyDescent="0.25">
      <c r="A186" s="3" t="str">
        <f>CLEAN("DODGE")</f>
        <v>DODGE</v>
      </c>
      <c r="B186" s="6" t="str">
        <f>CLEAN("1112-02-33")</f>
        <v>1112-02-33</v>
      </c>
      <c r="C186" s="6" t="str">
        <f>CLEAN("1112-02-63")</f>
        <v>1112-02-63</v>
      </c>
      <c r="D186" s="6">
        <v>2021</v>
      </c>
      <c r="E186" s="6" t="str">
        <f>CLEAN("USH-151")</f>
        <v>USH-151</v>
      </c>
      <c r="F186" s="4">
        <v>44327</v>
      </c>
      <c r="G186" s="3" t="str">
        <f>CLEAN("SUN PRAIRIE - BEAVER DAM")</f>
        <v>SUN PRAIRIE - BEAVER DAM</v>
      </c>
      <c r="H186" s="3" t="str">
        <f>CLEAN("COLUMBIA COUNTY LINE TO CTH S")</f>
        <v>COLUMBIA COUNTY LINE TO CTH S</v>
      </c>
      <c r="I186" s="3" t="str">
        <f>CLEAN("CONST/MEDIAN CABLE BARRIER")</f>
        <v>CONST/MEDIAN CABLE BARRIER</v>
      </c>
      <c r="J186" s="3">
        <v>2.8849999999999998</v>
      </c>
    </row>
    <row r="187" spans="1:10" x14ac:dyDescent="0.25">
      <c r="A187" s="3" t="str">
        <f>CLEAN("DODGE")</f>
        <v>DODGE</v>
      </c>
      <c r="B187" s="6" t="str">
        <f>CLEAN("1112-06-04")</f>
        <v>1112-06-04</v>
      </c>
      <c r="C187" s="6" t="str">
        <f>CLEAN("1112-06-74")</f>
        <v>1112-06-74</v>
      </c>
      <c r="D187" s="6">
        <v>2022</v>
      </c>
      <c r="E187" s="6" t="str">
        <f>CLEAN("USH-151")</f>
        <v>USH-151</v>
      </c>
      <c r="F187" s="4">
        <v>44418</v>
      </c>
      <c r="G187" s="3" t="str">
        <f>CLEAN("BEAVER DAM - FOND DU LAC")</f>
        <v>BEAVER DAM - FOND DU LAC</v>
      </c>
      <c r="H187" s="3" t="str">
        <f>CLEAN("STH 49 INTERCHANGE")</f>
        <v>STH 49 INTERCHANGE</v>
      </c>
      <c r="I187" s="3" t="str">
        <f>CLEAN("CONST/REPAIR/O'LAY RDWY")</f>
        <v>CONST/REPAIR/O'LAY RDWY</v>
      </c>
      <c r="J187" s="3">
        <v>2.4300000000000002</v>
      </c>
    </row>
    <row r="188" spans="1:10" x14ac:dyDescent="0.25">
      <c r="A188" s="3" t="str">
        <f>CLEAN("DODGE")</f>
        <v>DODGE</v>
      </c>
      <c r="B188" s="6" t="str">
        <f>CLEAN("3030-02-02")</f>
        <v>3030-02-02</v>
      </c>
      <c r="C188" s="6" t="str">
        <f>CLEAN("3030-02-72")</f>
        <v>3030-02-72</v>
      </c>
      <c r="D188" s="6">
        <v>2022</v>
      </c>
      <c r="E188" s="6" t="str">
        <f>CLEAN("STH-067")</f>
        <v>STH-067</v>
      </c>
      <c r="F188" s="4">
        <v>44544</v>
      </c>
      <c r="G188" s="3" t="str">
        <f>CLEAN("OCONOMOWOC - MAYVILLE")</f>
        <v>OCONOMOWOC - MAYVILLE</v>
      </c>
      <c r="H188" s="3" t="str">
        <f>CLEAN("WEST JCT CTH S TO RUEDEBUSCH AVE")</f>
        <v>WEST JCT CTH S TO RUEDEBUSCH AVE</v>
      </c>
      <c r="I188" s="3" t="str">
        <f>CLEAN("CONST/ MILL AND OVERLAY")</f>
        <v>CONST/ MILL AND OVERLAY</v>
      </c>
      <c r="J188" s="3">
        <v>5.27</v>
      </c>
    </row>
    <row r="189" spans="1:10" x14ac:dyDescent="0.25">
      <c r="A189" s="3" t="str">
        <f>CLEAN("DODGE")</f>
        <v>DODGE</v>
      </c>
      <c r="B189" s="6" t="str">
        <f>CLEAN("1107-00-30")</f>
        <v>1107-00-30</v>
      </c>
      <c r="C189" s="6" t="str">
        <f>CLEAN("1107-00-60")</f>
        <v>1107-00-60</v>
      </c>
      <c r="D189" s="6">
        <v>2022</v>
      </c>
      <c r="E189" s="6" t="str">
        <f>CLEAN("IH -041")</f>
        <v>IH -041</v>
      </c>
      <c r="F189" s="4">
        <v>44600</v>
      </c>
      <c r="G189" s="3" t="str">
        <f>CLEAN("ALLENTON - FOND DU LAC")</f>
        <v>ALLENTON - FOND DU LAC</v>
      </c>
      <c r="H189" s="3" t="str">
        <f>CLEAN("STH 28 B-14-0110; SOO RD B-14-0116")</f>
        <v>STH 28 B-14-0110; SOO RD B-14-0116</v>
      </c>
      <c r="I189" s="3" t="str">
        <f>CLEAN("CONST/POLYMER DECK O'LAYS/PAINT")</f>
        <v>CONST/POLYMER DECK O'LAYS/PAINT</v>
      </c>
      <c r="J189" s="3">
        <v>0.04</v>
      </c>
    </row>
    <row r="190" spans="1:10" x14ac:dyDescent="0.25">
      <c r="A190" s="3" t="str">
        <f>CLEAN("DODGE")</f>
        <v>DODGE</v>
      </c>
      <c r="B190" s="6" t="str">
        <f>CLEAN("1112-02-32")</f>
        <v>1112-02-32</v>
      </c>
      <c r="C190" s="6" t="str">
        <f>CLEAN("1112-02-62")</f>
        <v>1112-02-62</v>
      </c>
      <c r="D190" s="6">
        <v>2022</v>
      </c>
      <c r="E190" s="6" t="str">
        <f>CLEAN("USH-151")</f>
        <v>USH-151</v>
      </c>
      <c r="F190" s="4">
        <v>44600</v>
      </c>
      <c r="G190" s="3" t="str">
        <f>CLEAN("BEAVER DAM - FOND DU LAC")</f>
        <v>BEAVER DAM - FOND DU LAC</v>
      </c>
      <c r="H190" s="3" t="str">
        <f>CLEAN("CTH B B-14-0122; CTH M B-14-0124")</f>
        <v>CTH B B-14-0122; CTH M B-14-0124</v>
      </c>
      <c r="I190" s="3" t="str">
        <f>CLEAN("CONST/POLYMER BRG DECK O'LAY/PAINT")</f>
        <v>CONST/POLYMER BRG DECK O'LAY/PAINT</v>
      </c>
      <c r="J190" s="3">
        <v>1.7000000000000001E-2</v>
      </c>
    </row>
    <row r="191" spans="1:10" x14ac:dyDescent="0.25">
      <c r="A191" s="3" t="str">
        <f>CLEAN("DODGE")</f>
        <v>DODGE</v>
      </c>
      <c r="B191" s="6" t="str">
        <f>CLEAN("4060-05-02")</f>
        <v>4060-05-02</v>
      </c>
      <c r="C191" s="6" t="str">
        <f>CLEAN("4060-05-72")</f>
        <v>4060-05-72</v>
      </c>
      <c r="D191" s="6">
        <v>2022</v>
      </c>
      <c r="E191" s="6" t="str">
        <f>CLEAN("STH-028")</f>
        <v>STH-028</v>
      </c>
      <c r="F191" s="4">
        <v>44628</v>
      </c>
      <c r="G191" s="3" t="str">
        <f>CLEAN("HORICON - KEWASKUM")</f>
        <v>HORICON - KEWASKUM</v>
      </c>
      <c r="H191" s="3" t="str">
        <f>CLEAN("STH 67/175/TW INTERSECTION")</f>
        <v>STH 67/175/TW INTERSECTION</v>
      </c>
      <c r="I191" s="3" t="str">
        <f>CLEAN("CONST/INTERSECTION IMPROVEMENTS")</f>
        <v>CONST/INTERSECTION IMPROVEMENTS</v>
      </c>
      <c r="J191" s="3">
        <v>0.57199999999999995</v>
      </c>
    </row>
    <row r="192" spans="1:10" x14ac:dyDescent="0.25">
      <c r="A192" s="3" t="str">
        <f>CLEAN("DODGE")</f>
        <v>DODGE</v>
      </c>
      <c r="B192" s="6" t="str">
        <f>CLEAN("3042-01-01")</f>
        <v>3042-01-01</v>
      </c>
      <c r="C192" s="6" t="str">
        <f>CLEAN("3042-01-71")</f>
        <v>3042-01-71</v>
      </c>
      <c r="D192" s="6">
        <v>2023</v>
      </c>
      <c r="E192" s="6" t="str">
        <f>CLEAN("STH-060")</f>
        <v>STH-060</v>
      </c>
      <c r="F192" s="4">
        <v>44908</v>
      </c>
      <c r="G192" s="3" t="str">
        <f>CLEAN("LOWELL - HARTFORD")</f>
        <v>LOWELL - HARTFORD</v>
      </c>
      <c r="H192" s="3" t="str">
        <f>CLEAN(".32M E OF CTH W TO STH 67")</f>
        <v>.32M E OF CTH W TO STH 67</v>
      </c>
      <c r="I192" s="3" t="str">
        <f>CLEAN("CONST/ MILL AND OVERLAY")</f>
        <v>CONST/ MILL AND OVERLAY</v>
      </c>
      <c r="J192" s="3">
        <v>10.55</v>
      </c>
    </row>
    <row r="193" spans="1:10" x14ac:dyDescent="0.25">
      <c r="A193" s="3" t="str">
        <f>CLEAN("DODGE")</f>
        <v>DODGE</v>
      </c>
      <c r="B193" s="6" t="str">
        <f>CLEAN("1400-00-09")</f>
        <v>1400-00-09</v>
      </c>
      <c r="C193" s="6" t="str">
        <f>CLEAN("1400-00-89")</f>
        <v>1400-00-89</v>
      </c>
      <c r="D193" s="6">
        <v>2024</v>
      </c>
      <c r="E193" s="6" t="str">
        <f>CLEAN("STH-016")</f>
        <v>STH-016</v>
      </c>
      <c r="F193" s="4">
        <v>45244</v>
      </c>
      <c r="G193" s="3" t="str">
        <f>CLEAN("COLUMBUS - WATERTOWN")</f>
        <v>COLUMBUS - WATERTOWN</v>
      </c>
      <c r="H193" s="3" t="str">
        <f>CLEAN("CMSTPP RR BRIDGE B-14-066")</f>
        <v>CMSTPP RR BRIDGE B-14-066</v>
      </c>
      <c r="I193" s="3" t="str">
        <f>CLEAN("CONST/ CONCRETE OVERLAY")</f>
        <v>CONST/ CONCRETE OVERLAY</v>
      </c>
      <c r="J193" s="3">
        <v>0.34899999999999998</v>
      </c>
    </row>
    <row r="194" spans="1:10" x14ac:dyDescent="0.25">
      <c r="A194" s="3" t="str">
        <f>CLEAN("DODGE")</f>
        <v>DODGE</v>
      </c>
      <c r="B194" s="6" t="str">
        <f>CLEAN("1390-06-00")</f>
        <v>1390-06-00</v>
      </c>
      <c r="C194" s="6" t="str">
        <f>CLEAN("1390-06-70")</f>
        <v>1390-06-70</v>
      </c>
      <c r="D194" s="6">
        <v>2024</v>
      </c>
      <c r="E194" s="6" t="str">
        <f>CLEAN("STH-026")</f>
        <v>STH-026</v>
      </c>
      <c r="F194" s="4">
        <v>45272</v>
      </c>
      <c r="G194" s="3" t="str">
        <f>CLEAN("WATERTOWN - WAUPUN")</f>
        <v>WATERTOWN - WAUPUN</v>
      </c>
      <c r="H194" s="3" t="str">
        <f>CLEAN("STH 33 TO BARNES STREET")</f>
        <v>STH 33 TO BARNES STREET</v>
      </c>
      <c r="I194" s="3" t="str">
        <f>CLEAN("CONST/ PAVEMENT REPLACEMENT")</f>
        <v>CONST/ PAVEMENT REPLACEMENT</v>
      </c>
      <c r="J194" s="3">
        <v>12.42</v>
      </c>
    </row>
    <row r="195" spans="1:10" x14ac:dyDescent="0.25">
      <c r="A195" s="3" t="str">
        <f>CLEAN("DODGE")</f>
        <v>DODGE</v>
      </c>
      <c r="B195" s="6" t="str">
        <f>CLEAN("3020-00-00")</f>
        <v>3020-00-00</v>
      </c>
      <c r="C195" s="6" t="str">
        <f>CLEAN("3020-00-70")</f>
        <v>3020-00-70</v>
      </c>
      <c r="D195" s="6">
        <v>2025</v>
      </c>
      <c r="E195" s="6" t="str">
        <f>CLEAN("STH-028")</f>
        <v>STH-028</v>
      </c>
      <c r="F195" s="4">
        <v>45608</v>
      </c>
      <c r="G195" s="3" t="str">
        <f>CLEAN("HORICON - KEWASKUM")</f>
        <v>HORICON - KEWASKUM</v>
      </c>
      <c r="H195" s="3" t="str">
        <f>CLEAN("CTH V TO STH 175")</f>
        <v>CTH V TO STH 175</v>
      </c>
      <c r="I195" s="3" t="str">
        <f>CLEAN("CONST/ MILL AND OVERLAY")</f>
        <v>CONST/ MILL AND OVERLAY</v>
      </c>
      <c r="J195" s="3">
        <v>4.67</v>
      </c>
    </row>
    <row r="196" spans="1:10" x14ac:dyDescent="0.25">
      <c r="A196" s="3" t="str">
        <f>CLEAN("DODGE")</f>
        <v>DODGE</v>
      </c>
      <c r="B196" s="6" t="str">
        <f>CLEAN("4090-01-04")</f>
        <v>4090-01-04</v>
      </c>
      <c r="C196" s="6" t="str">
        <f>CLEAN("4090-01-74")</f>
        <v>4090-01-74</v>
      </c>
      <c r="D196" s="6">
        <v>2025</v>
      </c>
      <c r="E196" s="6" t="str">
        <f>CLEAN("STH-067")</f>
        <v>STH-067</v>
      </c>
      <c r="F196" s="4">
        <v>45608</v>
      </c>
      <c r="G196" s="3" t="str">
        <f>CLEAN("MAYVILLE - CAMBELLSPORT")</f>
        <v>MAYVILLE - CAMBELLSPORT</v>
      </c>
      <c r="H196" s="3" t="str">
        <f>CLEAN("STH 175 TO EAST COUNTY LINE")</f>
        <v>STH 175 TO EAST COUNTY LINE</v>
      </c>
      <c r="I196" s="3" t="str">
        <f>CLEAN("CONST/ PAVE REPLACE")</f>
        <v>CONST/ PAVE REPLACE</v>
      </c>
      <c r="J196" s="3">
        <v>2.4900000000000002</v>
      </c>
    </row>
    <row r="197" spans="1:10" x14ac:dyDescent="0.25">
      <c r="A197" s="3" t="str">
        <f>CLEAN("DODGE")</f>
        <v>DODGE</v>
      </c>
      <c r="B197" s="6" t="str">
        <f>CLEAN("3270-01-04")</f>
        <v>3270-01-04</v>
      </c>
      <c r="C197" s="6" t="str">
        <f>CLEAN("3270-01-74")</f>
        <v>3270-01-74</v>
      </c>
      <c r="D197" s="6">
        <v>2025</v>
      </c>
      <c r="E197" s="6" t="str">
        <f>CLEAN("STH-028")</f>
        <v>STH-028</v>
      </c>
      <c r="F197" s="4">
        <v>45636</v>
      </c>
      <c r="G197" s="3" t="str">
        <f>CLEAN("HORICON - KEWASKUM")</f>
        <v>HORICON - KEWASKUM</v>
      </c>
      <c r="H197" s="3" t="str">
        <f>CLEAN("ELLSWORTH STREET TO N JCT CTH TW")</f>
        <v>ELLSWORTH STREET TO N JCT CTH TW</v>
      </c>
      <c r="I197" s="3" t="str">
        <f>CLEAN("CONST/ MILL AND OVERLAY")</f>
        <v>CONST/ MILL AND OVERLAY</v>
      </c>
      <c r="J197" s="3">
        <v>3.54</v>
      </c>
    </row>
    <row r="198" spans="1:10" x14ac:dyDescent="0.25">
      <c r="A198" s="3" t="str">
        <f>CLEAN("DODGE")</f>
        <v>DODGE</v>
      </c>
      <c r="B198" s="6" t="str">
        <f>CLEAN("1390-01-06")</f>
        <v>1390-01-06</v>
      </c>
      <c r="C198" s="6" t="str">
        <f>CLEAN("1390-01-76")</f>
        <v>1390-01-76</v>
      </c>
      <c r="D198" s="6">
        <v>2027</v>
      </c>
      <c r="E198" s="6" t="str">
        <f>CLEAN("STH-026")</f>
        <v>STH-026</v>
      </c>
      <c r="F198" s="4">
        <v>46364</v>
      </c>
      <c r="G198" s="3" t="str">
        <f>CLEAN("WATERTOWN - WAUPUN")</f>
        <v>WATERTOWN - WAUPUN</v>
      </c>
      <c r="H198" s="3" t="str">
        <f>CLEAN("CENTER STREET TO STH 33")</f>
        <v>CENTER STREET TO STH 33</v>
      </c>
      <c r="I198" s="3" t="str">
        <f>CLEAN("CONST/ MILL AND OVERLAY")</f>
        <v>CONST/ MILL AND OVERLAY</v>
      </c>
      <c r="J198" s="3">
        <v>2.61</v>
      </c>
    </row>
    <row r="199" spans="1:10" x14ac:dyDescent="0.25">
      <c r="A199" s="3"/>
      <c r="B199" s="6"/>
      <c r="C199" s="6"/>
      <c r="D199" s="6"/>
      <c r="E199" s="6"/>
      <c r="F199" s="4"/>
      <c r="G199" s="3"/>
      <c r="H199" s="3"/>
      <c r="I199" s="3"/>
      <c r="J199" s="3"/>
    </row>
    <row r="200" spans="1:10" x14ac:dyDescent="0.25">
      <c r="A200" s="3" t="str">
        <f>CLEAN("GRANT")</f>
        <v>GRANT</v>
      </c>
      <c r="B200" s="6" t="str">
        <f>CLEAN("1202-00-80")</f>
        <v>1202-00-80</v>
      </c>
      <c r="C200" s="6" t="str">
        <f>CLEAN("1202-00-80")</f>
        <v>1202-00-80</v>
      </c>
      <c r="D200" s="6">
        <v>2020</v>
      </c>
      <c r="E200" s="6" t="str">
        <f>CLEAN("STH-011")</f>
        <v>STH-011</v>
      </c>
      <c r="F200" s="4">
        <v>43855</v>
      </c>
      <c r="G200" s="3" t="str">
        <f>CLEAN("DUBUQUE - DICKEYVILLE")</f>
        <v>DUBUQUE - DICKEYVILLE</v>
      </c>
      <c r="H200" s="3" t="str">
        <f>CLEAN("SAFETY REST AREA 106")</f>
        <v>SAFETY REST AREA 106</v>
      </c>
      <c r="I200" s="3" t="str">
        <f>CLEAN("CON/WASTEWATER TREATM SYSTM UPGRADE")</f>
        <v>CON/WASTEWATER TREATM SYSTM UPGRADE</v>
      </c>
      <c r="J200" s="3">
        <v>0</v>
      </c>
    </row>
    <row r="201" spans="1:10" x14ac:dyDescent="0.25">
      <c r="A201" s="3" t="str">
        <f>CLEAN("GRANT")</f>
        <v>GRANT</v>
      </c>
      <c r="B201" s="6" t="str">
        <f>CLEAN("1650-07-02")</f>
        <v>1650-07-02</v>
      </c>
      <c r="C201" s="6" t="str">
        <f>CLEAN("1650-07-72")</f>
        <v>1650-07-72</v>
      </c>
      <c r="D201" s="6">
        <v>2020</v>
      </c>
      <c r="E201" s="6" t="str">
        <f>CLEAN("USH-061")</f>
        <v>USH-061</v>
      </c>
      <c r="F201" s="4">
        <v>43935</v>
      </c>
      <c r="G201" s="3" t="str">
        <f>CLEAN("DICKEYVILLE - LANCASTER")</f>
        <v>DICKEYVILLE - LANCASTER</v>
      </c>
      <c r="H201" s="3" t="str">
        <f>CLEAN("PITZEN LANE TO HICKORY LANE")</f>
        <v>PITZEN LANE TO HICKORY LANE</v>
      </c>
      <c r="I201" s="3" t="str">
        <f>CLEAN("CONST OPS//MILL &amp; O'LAY")</f>
        <v>CONST OPS//MILL &amp; O'LAY</v>
      </c>
      <c r="J201" s="3">
        <v>0.93899999999999995</v>
      </c>
    </row>
    <row r="202" spans="1:10" x14ac:dyDescent="0.25">
      <c r="A202" s="3" t="str">
        <f>CLEAN("GRANT")</f>
        <v>GRANT</v>
      </c>
      <c r="B202" s="6" t="str">
        <f>CLEAN("1650-00-00")</f>
        <v>1650-00-00</v>
      </c>
      <c r="C202" s="6" t="str">
        <f>CLEAN("1650-00-70")</f>
        <v>1650-00-70</v>
      </c>
      <c r="D202" s="6">
        <v>2021</v>
      </c>
      <c r="E202" s="6" t="str">
        <f>CLEAN("USH-061")</f>
        <v>USH-061</v>
      </c>
      <c r="F202" s="4">
        <v>44054</v>
      </c>
      <c r="G202" s="3" t="str">
        <f>CLEAN("DICKEYVILLE - LANCASTER")</f>
        <v>DICKEYVILLE - LANCASTER</v>
      </c>
      <c r="H202" s="3" t="str">
        <f>CLEAN("SOUTH JUNCTION STH 129")</f>
        <v>SOUTH JUNCTION STH 129</v>
      </c>
      <c r="I202" s="3" t="str">
        <f>CLEAN("CONST/OFFSET RIGHT TURN LANE")</f>
        <v>CONST/OFFSET RIGHT TURN LANE</v>
      </c>
      <c r="J202" s="3">
        <v>0.13900000000000001</v>
      </c>
    </row>
    <row r="203" spans="1:10" x14ac:dyDescent="0.25">
      <c r="A203" s="3" t="str">
        <f>CLEAN("GRANT")</f>
        <v>GRANT</v>
      </c>
      <c r="B203" s="6" t="str">
        <f>CLEAN("5580-00-02")</f>
        <v>5580-00-02</v>
      </c>
      <c r="C203" s="6" t="str">
        <f>CLEAN("5580-00-82")</f>
        <v>5580-00-82</v>
      </c>
      <c r="D203" s="6">
        <v>2021</v>
      </c>
      <c r="E203" s="6" t="str">
        <f>CLEAN("STH-035")</f>
        <v>STH-035</v>
      </c>
      <c r="F203" s="4">
        <v>44082</v>
      </c>
      <c r="G203" s="3" t="str">
        <f>CLEAN("BLOOMINGTON - PRAIRIE DU CHIEN")</f>
        <v>BLOOMINGTON - PRAIRIE DU CHIEN</v>
      </c>
      <c r="H203" s="3" t="str">
        <f>CLEAN("BLAKE FORK CRK STRUCTURE B-22-0059")</f>
        <v>BLAKE FORK CRK STRUCTURE B-22-0059</v>
      </c>
      <c r="I203" s="3" t="str">
        <f>CLEAN("CONST/CONC OVRLY &amp; WING REPLACEMENT")</f>
        <v>CONST/CONC OVRLY &amp; WING REPLACEMENT</v>
      </c>
      <c r="J203" s="3">
        <v>0</v>
      </c>
    </row>
    <row r="204" spans="1:10" x14ac:dyDescent="0.25">
      <c r="A204" s="3" t="str">
        <f>CLEAN("GRANT")</f>
        <v>GRANT</v>
      </c>
      <c r="B204" s="6" t="str">
        <f>CLEAN("5225-05-00")</f>
        <v>5225-05-00</v>
      </c>
      <c r="C204" s="6" t="str">
        <f>CLEAN("5225-05-70")</f>
        <v>5225-05-70</v>
      </c>
      <c r="D204" s="6">
        <v>2021</v>
      </c>
      <c r="E204" s="6" t="str">
        <f>CLEAN("STH-081")</f>
        <v>STH-081</v>
      </c>
      <c r="F204" s="4">
        <v>44145</v>
      </c>
      <c r="G204" s="3" t="str">
        <f>CLEAN("LANCASTER - PLATTEVILLE")</f>
        <v>LANCASTER - PLATTEVILLE</v>
      </c>
      <c r="H204" s="3" t="str">
        <f>CLEAN("STH 61 TO E JCT OLD LANCASTER ROAD")</f>
        <v>STH 61 TO E JCT OLD LANCASTER ROAD</v>
      </c>
      <c r="I204" s="3" t="str">
        <f>CLEAN("CONST/ PAVEMENT REPLACE/B-22-228")</f>
        <v>CONST/ PAVEMENT REPLACE/B-22-228</v>
      </c>
      <c r="J204" s="3">
        <v>11.534000000000001</v>
      </c>
    </row>
    <row r="205" spans="1:10" x14ac:dyDescent="0.25">
      <c r="A205" s="3" t="str">
        <f>CLEAN("GRANT")</f>
        <v>GRANT</v>
      </c>
      <c r="B205" s="6" t="str">
        <f>CLEAN("5964-01-00")</f>
        <v>5964-01-00</v>
      </c>
      <c r="C205" s="6" t="str">
        <f>CLEAN("5964-01-80")</f>
        <v>5964-01-80</v>
      </c>
      <c r="D205" s="6">
        <v>2021</v>
      </c>
      <c r="E205" s="6" t="str">
        <f>CLEAN("STH-133")</f>
        <v>STH-133</v>
      </c>
      <c r="F205" s="4">
        <v>44173</v>
      </c>
      <c r="G205" s="3" t="str">
        <f>CLEAN("CASSVILLE - PATCH GROVE")</f>
        <v>CASSVILLE - PATCH GROVE</v>
      </c>
      <c r="H205" s="3" t="str">
        <f>CLEAN("STRUCTURES C-22-231  -230  -229")</f>
        <v>STRUCTURES C-22-231  -230  -229</v>
      </c>
      <c r="I205" s="3" t="str">
        <f>CLEAN("CONST/ REPLACEMENT OF BOX CULVERTS")</f>
        <v>CONST/ REPLACEMENT OF BOX CULVERTS</v>
      </c>
      <c r="J205" s="3">
        <v>0.54300000000000004</v>
      </c>
    </row>
    <row r="206" spans="1:10" x14ac:dyDescent="0.25">
      <c r="A206" s="3" t="str">
        <f>CLEAN("GRANT")</f>
        <v>GRANT</v>
      </c>
      <c r="B206" s="6" t="str">
        <f>CLEAN("1706-00-04")</f>
        <v>1706-00-04</v>
      </c>
      <c r="C206" s="6" t="str">
        <f>CLEAN("1706-00-74")</f>
        <v>1706-00-74</v>
      </c>
      <c r="D206" s="6">
        <v>2021</v>
      </c>
      <c r="E206" s="6" t="str">
        <f>CLEAN("STH-011")</f>
        <v>STH-011</v>
      </c>
      <c r="F206" s="4">
        <v>44236</v>
      </c>
      <c r="G206" s="3" t="str">
        <f>CLEAN("DUBUQUE - SHULLSBURG")</f>
        <v>DUBUQUE - SHULLSBURG</v>
      </c>
      <c r="H206" s="3" t="str">
        <f>CLEAN("STH 80 INTERSECTION (EAST JUNCTION)")</f>
        <v>STH 80 INTERSECTION (EAST JUNCTION)</v>
      </c>
      <c r="I206" s="3" t="str">
        <f>CLEAN("CONST/OFFSET LT AND RT TURN LANES")</f>
        <v>CONST/OFFSET LT AND RT TURN LANES</v>
      </c>
      <c r="J206" s="3">
        <v>0.19500000000000001</v>
      </c>
    </row>
    <row r="207" spans="1:10" x14ac:dyDescent="0.25">
      <c r="A207" s="3" t="str">
        <f>CLEAN("GRANT")</f>
        <v>GRANT</v>
      </c>
      <c r="B207" s="6" t="str">
        <f>CLEAN("1706-00-00")</f>
        <v>1706-00-00</v>
      </c>
      <c r="C207" s="6" t="str">
        <f>CLEAN("1706-00-70")</f>
        <v>1706-00-70</v>
      </c>
      <c r="D207" s="6">
        <v>2022</v>
      </c>
      <c r="E207" s="6" t="str">
        <f>CLEAN("STH-011")</f>
        <v>STH-011</v>
      </c>
      <c r="F207" s="4">
        <v>44509</v>
      </c>
      <c r="G207" s="3" t="str">
        <f>CLEAN("DUBUQUE - SHULLSBURG")</f>
        <v>DUBUQUE - SHULLSBURG</v>
      </c>
      <c r="H207" s="3" t="str">
        <f>CLEAN(".3 MI E STH 35 TO V HAZEL GREEN")</f>
        <v>.3 MI E STH 35 TO V HAZEL GREEN</v>
      </c>
      <c r="I207" s="3" t="str">
        <f>CLEAN("CONST/ PAVEMENT REPLACEMENT")</f>
        <v>CONST/ PAVEMENT REPLACEMENT</v>
      </c>
      <c r="J207" s="3">
        <v>8.7889999999999997</v>
      </c>
    </row>
    <row r="208" spans="1:10" x14ac:dyDescent="0.25">
      <c r="A208" s="3" t="str">
        <f>CLEAN("GRANT")</f>
        <v>GRANT</v>
      </c>
      <c r="B208" s="6" t="str">
        <f>CLEAN("1202-00-32")</f>
        <v>1202-00-32</v>
      </c>
      <c r="C208" s="6" t="str">
        <f>CLEAN("1202-00-62")</f>
        <v>1202-00-62</v>
      </c>
      <c r="D208" s="6">
        <v>2022</v>
      </c>
      <c r="E208" s="6" t="str">
        <f>CLEAN("USH-061")</f>
        <v>USH-061</v>
      </c>
      <c r="F208" s="4">
        <v>44600</v>
      </c>
      <c r="G208" s="3" t="str">
        <f>CLEAN("DUBUQUE - DICKEYVILLE")</f>
        <v>DUBUQUE - DICKEYVILLE</v>
      </c>
      <c r="H208" s="3" t="str">
        <f>CLEAN("EAGLE POINT BRIDGE B-22-273")</f>
        <v>EAGLE POINT BRIDGE B-22-273</v>
      </c>
      <c r="I208" s="3" t="str">
        <f>CLEAN("CONST/THIN POLYMER DECK OVERLAY")</f>
        <v>CONST/THIN POLYMER DECK OVERLAY</v>
      </c>
      <c r="J208" s="3">
        <v>0</v>
      </c>
    </row>
    <row r="209" spans="1:10" x14ac:dyDescent="0.25">
      <c r="A209" s="3" t="str">
        <f>CLEAN("GRANT")</f>
        <v>GRANT</v>
      </c>
      <c r="B209" s="6" t="str">
        <f>CLEAN("1650-00-07")</f>
        <v>1650-00-07</v>
      </c>
      <c r="C209" s="6" t="str">
        <f>CLEAN("1650-00-77")</f>
        <v>1650-00-77</v>
      </c>
      <c r="D209" s="6">
        <v>2023</v>
      </c>
      <c r="E209" s="6" t="str">
        <f>CLEAN("USH-061")</f>
        <v>USH-061</v>
      </c>
      <c r="F209" s="4">
        <v>44817</v>
      </c>
      <c r="G209" s="3" t="str">
        <f>CLEAN("DICKEYVILLE - LANCASTER")</f>
        <v>DICKEYVILLE - LANCASTER</v>
      </c>
      <c r="H209" s="3" t="str">
        <f>CLEAN("SOUTH JUNCTION STH 81")</f>
        <v>SOUTH JUNCTION STH 81</v>
      </c>
      <c r="I209" s="3" t="str">
        <f>CLEAN("CONST/INTERSECTION IMPROVEMENT")</f>
        <v>CONST/INTERSECTION IMPROVEMENT</v>
      </c>
      <c r="J209" s="3">
        <v>0.41599999999999998</v>
      </c>
    </row>
    <row r="210" spans="1:10" x14ac:dyDescent="0.25">
      <c r="A210" s="3" t="str">
        <f>CLEAN("GRANT")</f>
        <v>GRANT</v>
      </c>
      <c r="B210" s="6" t="str">
        <f>CLEAN("1650-06-02")</f>
        <v>1650-06-02</v>
      </c>
      <c r="C210" s="6" t="str">
        <f>CLEAN("1650-06-72")</f>
        <v>1650-06-72</v>
      </c>
      <c r="D210" s="6">
        <v>2023</v>
      </c>
      <c r="E210" s="6" t="str">
        <f>CLEAN("USH-061")</f>
        <v>USH-061</v>
      </c>
      <c r="F210" s="4">
        <v>44817</v>
      </c>
      <c r="G210" s="3" t="str">
        <f>CLEAN("DICKEYVILLE - LANCASTER")</f>
        <v>DICKEYVILLE - LANCASTER</v>
      </c>
      <c r="H210" s="3" t="str">
        <f>CLEAN("HICKORY LANE TO ALONA LANE")</f>
        <v>HICKORY LANE TO ALONA LANE</v>
      </c>
      <c r="I210" s="3" t="str">
        <f>CLEAN("CONST OPS/PASSING LANES &amp; SLOPES")</f>
        <v>CONST OPS/PASSING LANES &amp; SLOPES</v>
      </c>
      <c r="J210" s="3">
        <v>17.7</v>
      </c>
    </row>
    <row r="211" spans="1:10" x14ac:dyDescent="0.25">
      <c r="A211" s="3" t="str">
        <f>CLEAN("GRANT")</f>
        <v>GRANT</v>
      </c>
      <c r="B211" s="6" t="str">
        <f>CLEAN("5215-02-04")</f>
        <v>5215-02-04</v>
      </c>
      <c r="C211" s="6" t="str">
        <f>CLEAN("5215-02-74")</f>
        <v>5215-02-74</v>
      </c>
      <c r="D211" s="6">
        <v>2023</v>
      </c>
      <c r="E211" s="6" t="str">
        <f>CLEAN("STH-081")</f>
        <v>STH-081</v>
      </c>
      <c r="F211" s="4">
        <v>44873</v>
      </c>
      <c r="G211" s="3" t="str">
        <f>CLEAN("CASSVILLE - LANCASTER")</f>
        <v>CASSVILLE - LANCASTER</v>
      </c>
      <c r="H211" s="3" t="str">
        <f>CLEAN("CTH Y TO STH 35")</f>
        <v>CTH Y TO STH 35</v>
      </c>
      <c r="I211" s="3" t="str">
        <f>CLEAN("CONST/ MILL AND OVERLAY")</f>
        <v>CONST/ MILL AND OVERLAY</v>
      </c>
      <c r="J211" s="3">
        <v>8.8800000000000008</v>
      </c>
    </row>
    <row r="212" spans="1:10" x14ac:dyDescent="0.25">
      <c r="A212" s="3" t="str">
        <f>CLEAN("GRANT")</f>
        <v>GRANT</v>
      </c>
      <c r="B212" s="6" t="str">
        <f>CLEAN("5215-03-00")</f>
        <v>5215-03-00</v>
      </c>
      <c r="C212" s="6" t="str">
        <f>CLEAN("5215-03-80")</f>
        <v>5215-03-80</v>
      </c>
      <c r="D212" s="6">
        <v>2023</v>
      </c>
      <c r="E212" s="6" t="str">
        <f>CLEAN("STH-081")</f>
        <v>STH-081</v>
      </c>
      <c r="F212" s="4">
        <v>44873</v>
      </c>
      <c r="G212" s="3" t="str">
        <f>CLEAN("CASSVILLE - LANCASTER")</f>
        <v>CASSVILLE - LANCASTER</v>
      </c>
      <c r="H212" s="3" t="str">
        <f>CLEAN("HACKETT BRANCH BRIDGE B-22-292")</f>
        <v>HACKETT BRANCH BRIDGE B-22-292</v>
      </c>
      <c r="I212" s="3" t="str">
        <f>CLEAN("CONST/ BRIDGE REPLACEMENT")</f>
        <v>CONST/ BRIDGE REPLACEMENT</v>
      </c>
      <c r="J212" s="3">
        <v>9.1999999999999998E-2</v>
      </c>
    </row>
    <row r="213" spans="1:10" x14ac:dyDescent="0.25">
      <c r="A213" s="3" t="str">
        <f>CLEAN("GRANT")</f>
        <v>GRANT</v>
      </c>
      <c r="B213" s="6" t="str">
        <f>CLEAN("5235-03-00")</f>
        <v>5235-03-00</v>
      </c>
      <c r="C213" s="6" t="str">
        <f>CLEAN("5235-03-70")</f>
        <v>5235-03-70</v>
      </c>
      <c r="D213" s="6">
        <v>2023</v>
      </c>
      <c r="E213" s="6" t="str">
        <f>CLEAN("STH-080")</f>
        <v>STH-080</v>
      </c>
      <c r="F213" s="4">
        <v>44873</v>
      </c>
      <c r="G213" s="3" t="str">
        <f>CLEAN("HAZEL GREEN - PLATTEVILLE")</f>
        <v>HAZEL GREEN - PLATTEVILLE</v>
      </c>
      <c r="H213" s="3" t="str">
        <f>CLEAN("N LIMIT CUBA CITY TO BUS 151")</f>
        <v>N LIMIT CUBA CITY TO BUS 151</v>
      </c>
      <c r="I213" s="3" t="str">
        <f>CLEAN("CONST/ MILL AND OVERLAY  B-22-007")</f>
        <v>CONST/ MILL AND OVERLAY  B-22-007</v>
      </c>
      <c r="J213" s="3">
        <v>8.73</v>
      </c>
    </row>
    <row r="214" spans="1:10" x14ac:dyDescent="0.25">
      <c r="A214" s="3" t="str">
        <f>CLEAN("GRANT")</f>
        <v>GRANT</v>
      </c>
      <c r="B214" s="6" t="str">
        <f>CLEAN("5616-05-01")</f>
        <v>5616-05-01</v>
      </c>
      <c r="C214" s="6" t="str">
        <f>CLEAN("5616-05-81")</f>
        <v>5616-05-81</v>
      </c>
      <c r="D214" s="6">
        <v>2023</v>
      </c>
      <c r="E214" s="6" t="str">
        <f>CLEAN("STH-133")</f>
        <v>STH-133</v>
      </c>
      <c r="F214" s="4">
        <v>44873</v>
      </c>
      <c r="G214" s="3" t="str">
        <f>CLEAN("MOUNT HOPE - BOSCOBEL")</f>
        <v>MOUNT HOPE - BOSCOBEL</v>
      </c>
      <c r="H214" s="3" t="str">
        <f>CLEAN("GREEN RIVER BRIDGE B-22-217")</f>
        <v>GREEN RIVER BRIDGE B-22-217</v>
      </c>
      <c r="I214" s="3" t="str">
        <f>CLEAN("CONST/BRIDGE REPLACEMENT")</f>
        <v>CONST/BRIDGE REPLACEMENT</v>
      </c>
      <c r="J214" s="3">
        <v>9.8000000000000004E-2</v>
      </c>
    </row>
    <row r="215" spans="1:10" x14ac:dyDescent="0.25">
      <c r="A215" s="3" t="str">
        <f>CLEAN("GRANT")</f>
        <v>GRANT</v>
      </c>
      <c r="B215" s="6" t="str">
        <f>CLEAN("1706-06-00")</f>
        <v>1706-06-00</v>
      </c>
      <c r="C215" s="6" t="str">
        <f>CLEAN("1706-06-70")</f>
        <v>1706-06-70</v>
      </c>
      <c r="D215" s="6">
        <v>2023</v>
      </c>
      <c r="E215" s="6" t="str">
        <f>CLEAN("STH-011")</f>
        <v>STH-011</v>
      </c>
      <c r="F215" s="4">
        <v>44908</v>
      </c>
      <c r="G215" s="3" t="str">
        <f>CLEAN("DUBUQUE - SHULLSBURG")</f>
        <v>DUBUQUE - SHULLSBURG</v>
      </c>
      <c r="H215" s="3" t="str">
        <f>CLEAN("V HAZEL GREEN N LIMIT TO STH 80")</f>
        <v>V HAZEL GREEN N LIMIT TO STH 80</v>
      </c>
      <c r="I215" s="3" t="str">
        <f>CLEAN("CONST/ PAV'T REPLACE")</f>
        <v>CONST/ PAV'T REPLACE</v>
      </c>
      <c r="J215" s="3">
        <v>1.82</v>
      </c>
    </row>
    <row r="216" spans="1:10" x14ac:dyDescent="0.25">
      <c r="A216" s="3" t="str">
        <f>CLEAN("GRANT")</f>
        <v>GRANT</v>
      </c>
      <c r="B216" s="6" t="str">
        <f>CLEAN("5235-03-01")</f>
        <v>5235-03-01</v>
      </c>
      <c r="C216" s="6" t="str">
        <f>CLEAN("5235-03-71")</f>
        <v>5235-03-71</v>
      </c>
      <c r="D216" s="6">
        <v>2023</v>
      </c>
      <c r="E216" s="6" t="str">
        <f>CLEAN("STH-080")</f>
        <v>STH-080</v>
      </c>
      <c r="F216" s="4">
        <v>44908</v>
      </c>
      <c r="G216" s="3" t="str">
        <f>CLEAN("HAZEL GREEN - PLATTEVILLE")</f>
        <v>HAZEL GREEN - PLATTEVILLE</v>
      </c>
      <c r="H216" s="3" t="str">
        <f>CLEAN("E JCT STH 11 TO CUBA CITY S LIMIT")</f>
        <v>E JCT STH 11 TO CUBA CITY S LIMIT</v>
      </c>
      <c r="I216" s="3" t="str">
        <f>CLEAN("CONST/ PAV'T REPLACE")</f>
        <v>CONST/ PAV'T REPLACE</v>
      </c>
      <c r="J216" s="3">
        <v>1.55</v>
      </c>
    </row>
    <row r="217" spans="1:10" x14ac:dyDescent="0.25">
      <c r="A217" s="3" t="str">
        <f>CLEAN("GRANT")</f>
        <v>GRANT</v>
      </c>
      <c r="B217" s="6" t="str">
        <f>CLEAN("1650-00-08")</f>
        <v>1650-00-08</v>
      </c>
      <c r="C217" s="6" t="str">
        <f>CLEAN("1650-00-78")</f>
        <v>1650-00-78</v>
      </c>
      <c r="D217" s="6">
        <v>2023</v>
      </c>
      <c r="E217" s="6" t="str">
        <f>CLEAN("USH-061")</f>
        <v>USH-061</v>
      </c>
      <c r="F217" s="4">
        <v>44971</v>
      </c>
      <c r="G217" s="3" t="str">
        <f>CLEAN("DICKEYVILLE - LANCASTER")</f>
        <v>DICKEYVILLE - LANCASTER</v>
      </c>
      <c r="H217" s="3" t="str">
        <f>CLEAN("STH 133 TO CTH U")</f>
        <v>STH 133 TO CTH U</v>
      </c>
      <c r="I217" s="3" t="str">
        <f>CLEAN("CONST/CONVERT TO TWLTL")</f>
        <v>CONST/CONVERT TO TWLTL</v>
      </c>
      <c r="J217" s="3">
        <v>0.83</v>
      </c>
    </row>
    <row r="218" spans="1:10" x14ac:dyDescent="0.25">
      <c r="A218" s="3" t="str">
        <f>CLEAN("GRANT")</f>
        <v>GRANT</v>
      </c>
      <c r="B218" s="6" t="str">
        <f>CLEAN("1706-06-01")</f>
        <v>1706-06-01</v>
      </c>
      <c r="C218" s="6" t="str">
        <f>CLEAN("1706-06-71")</f>
        <v>1706-06-71</v>
      </c>
      <c r="D218" s="6">
        <v>2024</v>
      </c>
      <c r="E218" s="6" t="str">
        <f>CLEAN("STH-011")</f>
        <v>STH-011</v>
      </c>
      <c r="F218" s="4">
        <v>45272</v>
      </c>
      <c r="G218" s="3" t="str">
        <f>CLEAN("DUBUQUE - SHULLSBURG")</f>
        <v>DUBUQUE - SHULLSBURG</v>
      </c>
      <c r="H218" s="3" t="str">
        <f>CLEAN("V HAZEL GREEN W LIMIT TO V N LIMIT")</f>
        <v>V HAZEL GREEN W LIMIT TO V N LIMIT</v>
      </c>
      <c r="I218" s="3" t="str">
        <f>CLEAN("CONST/ PAV'T REPLACE")</f>
        <v>CONST/ PAV'T REPLACE</v>
      </c>
      <c r="J218" s="3">
        <v>1.49</v>
      </c>
    </row>
    <row r="219" spans="1:10" x14ac:dyDescent="0.25">
      <c r="A219" s="3" t="str">
        <f>CLEAN("GRANT")</f>
        <v>GRANT</v>
      </c>
      <c r="B219" s="6" t="str">
        <f>CLEAN("5330-02-03")</f>
        <v>5330-02-03</v>
      </c>
      <c r="C219" s="6" t="str">
        <f>CLEAN("5330-02-73")</f>
        <v>5330-02-73</v>
      </c>
      <c r="D219" s="6">
        <v>2024</v>
      </c>
      <c r="E219" s="6" t="str">
        <f>CLEAN("STH-080")</f>
        <v>STH-080</v>
      </c>
      <c r="F219" s="4">
        <v>45272</v>
      </c>
      <c r="G219" s="3" t="str">
        <f>CLEAN("HAZEL GREEN - PLATTEVILLE")</f>
        <v>HAZEL GREEN - PLATTEVILLE</v>
      </c>
      <c r="H219" s="3" t="str">
        <f>CLEAN("ILLINOIS STATE LINE TO STH 11")</f>
        <v>ILLINOIS STATE LINE TO STH 11</v>
      </c>
      <c r="I219" s="3" t="str">
        <f>CLEAN("CONST/ PAV'T REPLACE")</f>
        <v>CONST/ PAV'T REPLACE</v>
      </c>
      <c r="J219" s="3">
        <v>1.79</v>
      </c>
    </row>
    <row r="220" spans="1:10" x14ac:dyDescent="0.25">
      <c r="A220" s="3" t="str">
        <f>CLEAN("GRANT")</f>
        <v>GRANT</v>
      </c>
      <c r="B220" s="6" t="str">
        <f>CLEAN("5580-04-00")</f>
        <v>5580-04-00</v>
      </c>
      <c r="C220" s="6" t="str">
        <f>CLEAN("5580-04-70")</f>
        <v>5580-04-70</v>
      </c>
      <c r="D220" s="6">
        <v>2025</v>
      </c>
      <c r="E220" s="6" t="str">
        <f>CLEAN("STH-035")</f>
        <v>STH-035</v>
      </c>
      <c r="F220" s="4">
        <v>45608</v>
      </c>
      <c r="G220" s="3" t="str">
        <f>CLEAN("BLOOMINGTON - PRAIRIE DU CHIEN")</f>
        <v>BLOOMINGTON - PRAIRIE DU CHIEN</v>
      </c>
      <c r="H220" s="3" t="str">
        <f>CLEAN("W JUNCTION STH 133 TO USH 18")</f>
        <v>W JUNCTION STH 133 TO USH 18</v>
      </c>
      <c r="I220" s="3" t="str">
        <f>CLEAN("CONST/MILL &amp; OVERLAY")</f>
        <v>CONST/MILL &amp; OVERLAY</v>
      </c>
      <c r="J220" s="3">
        <v>6.09</v>
      </c>
    </row>
    <row r="221" spans="1:10" x14ac:dyDescent="0.25">
      <c r="A221" s="3"/>
      <c r="B221" s="6"/>
      <c r="C221" s="6"/>
      <c r="D221" s="6"/>
      <c r="E221" s="6"/>
      <c r="F221" s="4"/>
      <c r="G221" s="3"/>
      <c r="H221" s="3"/>
      <c r="I221" s="3"/>
      <c r="J221" s="3"/>
    </row>
    <row r="222" spans="1:10" x14ac:dyDescent="0.25">
      <c r="A222" s="3" t="str">
        <f>CLEAN("GREEN")</f>
        <v>GREEN</v>
      </c>
      <c r="B222" s="6" t="str">
        <f>CLEAN("5660-00-02")</f>
        <v>5660-00-02</v>
      </c>
      <c r="C222" s="6" t="str">
        <f>CLEAN("5660-00-72")</f>
        <v>5660-00-72</v>
      </c>
      <c r="D222" s="6">
        <v>2020</v>
      </c>
      <c r="E222" s="6" t="str">
        <f>CLEAN("STH-059")</f>
        <v>STH-059</v>
      </c>
      <c r="F222" s="4">
        <v>43900</v>
      </c>
      <c r="G222" s="3" t="str">
        <f>CLEAN("MONROE -EVANSVILLE")</f>
        <v>MONROE -EVANSVILLE</v>
      </c>
      <c r="H222" s="3" t="str">
        <f>CLEAN("28TH AVENUE TO WEISS LANE")</f>
        <v>28TH AVENUE TO WEISS LANE</v>
      </c>
      <c r="I222" s="3" t="str">
        <f>CLEAN("CONST OPS/REPLACE PAVEMENT")</f>
        <v>CONST OPS/REPLACE PAVEMENT</v>
      </c>
      <c r="J222" s="3">
        <v>0.27</v>
      </c>
    </row>
    <row r="223" spans="1:10" x14ac:dyDescent="0.25">
      <c r="A223" s="3" t="str">
        <f>CLEAN("GREEN")</f>
        <v>GREEN</v>
      </c>
      <c r="B223" s="6" t="str">
        <f>CLEAN("5944-01-02")</f>
        <v>5944-01-02</v>
      </c>
      <c r="C223" s="6" t="str">
        <f>CLEAN("5944-01-72")</f>
        <v>5944-01-72</v>
      </c>
      <c r="D223" s="6">
        <v>2020</v>
      </c>
      <c r="E223" s="6" t="str">
        <f>CLEAN("STH-081")</f>
        <v>STH-081</v>
      </c>
      <c r="F223" s="4">
        <v>43900</v>
      </c>
      <c r="G223" s="3" t="str">
        <f>CLEAN("ARGYLE - MONROE")</f>
        <v>ARGYLE - MONROE</v>
      </c>
      <c r="H223" s="3" t="str">
        <f>CLEAN("CTH N TO STH 11 EB &amp; WB")</f>
        <v>CTH N TO STH 11 EB &amp; WB</v>
      </c>
      <c r="I223" s="3" t="str">
        <f>CLEAN("CONST/REPLACE PAVEMENT/B-23-0033")</f>
        <v>CONST/REPLACE PAVEMENT/B-23-0033</v>
      </c>
      <c r="J223" s="3">
        <v>0.52</v>
      </c>
    </row>
    <row r="224" spans="1:10" x14ac:dyDescent="0.25">
      <c r="A224" s="3" t="str">
        <f>CLEAN("GREEN")</f>
        <v>GREEN</v>
      </c>
      <c r="B224" s="6" t="str">
        <f>CLEAN("5944-01-30")</f>
        <v>5944-01-30</v>
      </c>
      <c r="C224" s="6" t="str">
        <f>CLEAN("5944-01-60")</f>
        <v>5944-01-60</v>
      </c>
      <c r="D224" s="6">
        <v>2020</v>
      </c>
      <c r="E224" s="6" t="str">
        <f>CLEAN("STH-081")</f>
        <v>STH-081</v>
      </c>
      <c r="F224" s="4">
        <v>43935</v>
      </c>
      <c r="G224" s="3" t="str">
        <f>CLEAN("ARGYLE - MONROE")</f>
        <v>ARGYLE - MONROE</v>
      </c>
      <c r="H224" s="3" t="str">
        <f>CLEAN("W JCT OLD WIS 81 TO PLEASANT VIEW")</f>
        <v>W JCT OLD WIS 81 TO PLEASANT VIEW</v>
      </c>
      <c r="I224" s="3" t="str">
        <f>CLEAN("CONST/ MILL AND OVERLAY")</f>
        <v>CONST/ MILL AND OVERLAY</v>
      </c>
      <c r="J224" s="3">
        <v>12.731999999999999</v>
      </c>
    </row>
    <row r="225" spans="1:10" x14ac:dyDescent="0.25">
      <c r="A225" s="3" t="str">
        <f>CLEAN("GREEN")</f>
        <v>GREEN</v>
      </c>
      <c r="B225" s="6" t="str">
        <f>CLEAN("1706-04-31")</f>
        <v>1706-04-31</v>
      </c>
      <c r="C225" s="6" t="str">
        <f>CLEAN("1706-04-61")</f>
        <v>1706-04-61</v>
      </c>
      <c r="D225" s="6">
        <v>2021</v>
      </c>
      <c r="E225" s="6" t="str">
        <f>CLEAN("STH-011")</f>
        <v>STH-011</v>
      </c>
      <c r="F225" s="4">
        <v>44145</v>
      </c>
      <c r="G225" s="3" t="str">
        <f>CLEAN("SHULLSBURG - MONROE")</f>
        <v>SHULLSBURG - MONROE</v>
      </c>
      <c r="H225" s="3" t="str">
        <f>CLEAN("W COUNTY LINE TO MONROE CITY LIMITS")</f>
        <v>W COUNTY LINE TO MONROE CITY LIMITS</v>
      </c>
      <c r="I225" s="3" t="str">
        <f>CLEAN("CONST/ MILL AND OVERLAY")</f>
        <v>CONST/ MILL AND OVERLAY</v>
      </c>
      <c r="J225" s="3">
        <v>9.4499999999999993</v>
      </c>
    </row>
    <row r="226" spans="1:10" x14ac:dyDescent="0.25">
      <c r="A226" s="3" t="str">
        <f>CLEAN("GREEN")</f>
        <v>GREEN</v>
      </c>
      <c r="B226" s="6" t="str">
        <f>CLEAN("1706-04-32")</f>
        <v>1706-04-32</v>
      </c>
      <c r="C226" s="6" t="str">
        <f>CLEAN("1706-04-62")</f>
        <v>1706-04-62</v>
      </c>
      <c r="D226" s="6">
        <v>2021</v>
      </c>
      <c r="E226" s="6" t="str">
        <f>CLEAN("STH-011")</f>
        <v>STH-011</v>
      </c>
      <c r="F226" s="4">
        <v>44145</v>
      </c>
      <c r="G226" s="3" t="str">
        <f>CLEAN("MONROE - BRODHEAD")</f>
        <v>MONROE - BRODHEAD</v>
      </c>
      <c r="H226" s="3" t="str">
        <f>CLEAN("HILTBRAND LANE TO C BRODHEAD LIMITS")</f>
        <v>HILTBRAND LANE TO C BRODHEAD LIMITS</v>
      </c>
      <c r="I226" s="3" t="str">
        <f>CLEAN("CONST/ RECONDITION")</f>
        <v>CONST/ RECONDITION</v>
      </c>
      <c r="J226" s="3">
        <v>10.43</v>
      </c>
    </row>
    <row r="227" spans="1:10" x14ac:dyDescent="0.25">
      <c r="A227" s="3" t="str">
        <f>CLEAN("GREEN")</f>
        <v>GREEN</v>
      </c>
      <c r="B227" s="6" t="str">
        <f>CLEAN("1706-01-04")</f>
        <v>1706-01-04</v>
      </c>
      <c r="C227" s="6" t="str">
        <f>CLEAN("1706-01-74")</f>
        <v>1706-01-74</v>
      </c>
      <c r="D227" s="6">
        <v>2022</v>
      </c>
      <c r="E227" s="6" t="str">
        <f>CLEAN("STH-011")</f>
        <v>STH-011</v>
      </c>
      <c r="F227" s="4">
        <v>44509</v>
      </c>
      <c r="G227" s="3" t="str">
        <f>CLEAN("C BRODHEAD  1ST STREET")</f>
        <v>C BRODHEAD  1ST STREET</v>
      </c>
      <c r="H227" s="3" t="str">
        <f>CLEAN("2ND STREET TO STH 104")</f>
        <v>2ND STREET TO STH 104</v>
      </c>
      <c r="I227" s="3" t="str">
        <f>CLEAN("CONST/ MILL AND OVERLAY")</f>
        <v>CONST/ MILL AND OVERLAY</v>
      </c>
      <c r="J227" s="3">
        <v>0.53200000000000003</v>
      </c>
    </row>
    <row r="228" spans="1:10" x14ac:dyDescent="0.25">
      <c r="A228" s="3" t="str">
        <f>CLEAN("GREEN")</f>
        <v>GREEN</v>
      </c>
      <c r="B228" s="6" t="str">
        <f>CLEAN("5606-03-00")</f>
        <v>5606-03-00</v>
      </c>
      <c r="C228" s="6" t="str">
        <f>CLEAN("5606-03-70")</f>
        <v>5606-03-70</v>
      </c>
      <c r="D228" s="6">
        <v>2025</v>
      </c>
      <c r="E228" s="6" t="str">
        <f>CLEAN("STH-092")</f>
        <v>STH-092</v>
      </c>
      <c r="F228" s="4">
        <v>45608</v>
      </c>
      <c r="G228" s="3" t="str">
        <f>CLEAN("MT HOREB - BROOKLYN")</f>
        <v>MT HOREB - BROOKLYN</v>
      </c>
      <c r="H228" s="3" t="str">
        <f>CLEAN("EAST AVENUE TO USH 14")</f>
        <v>EAST AVENUE TO USH 14</v>
      </c>
      <c r="I228" s="3" t="str">
        <f>CLEAN("CONST/MILL &amp; OVERLAY")</f>
        <v>CONST/MILL &amp; OVERLAY</v>
      </c>
      <c r="J228" s="3">
        <v>13.117000000000001</v>
      </c>
    </row>
    <row r="229" spans="1:10" x14ac:dyDescent="0.25">
      <c r="A229" s="3" t="str">
        <f>CLEAN("GREEN")</f>
        <v>GREEN</v>
      </c>
      <c r="B229" s="6" t="str">
        <f>CLEAN("5970-02-04")</f>
        <v>5970-02-04</v>
      </c>
      <c r="C229" s="6" t="str">
        <f>CLEAN("5970-02-74")</f>
        <v>5970-02-74</v>
      </c>
      <c r="D229" s="6">
        <v>2025</v>
      </c>
      <c r="E229" s="6" t="str">
        <f>CLEAN("STH-039")</f>
        <v>STH-039</v>
      </c>
      <c r="F229" s="4">
        <v>45608</v>
      </c>
      <c r="G229" s="3" t="str">
        <f>CLEAN("HOLLANDALE - NEW GLARUS")</f>
        <v>HOLLANDALE - NEW GLARUS</v>
      </c>
      <c r="H229" s="3" t="str">
        <f>CLEAN("CTH K TO 0.16MI E OF YORK CENTER RD")</f>
        <v>CTH K TO 0.16MI E OF YORK CENTER RD</v>
      </c>
      <c r="I229" s="3" t="str">
        <f>CLEAN("CONST/ MILL &amp; OVERLAY")</f>
        <v>CONST/ MILL &amp; OVERLAY</v>
      </c>
      <c r="J229" s="3">
        <v>10.911</v>
      </c>
    </row>
    <row r="230" spans="1:10" x14ac:dyDescent="0.25">
      <c r="A230" s="3"/>
      <c r="B230" s="6"/>
      <c r="C230" s="6"/>
      <c r="D230" s="6"/>
      <c r="E230" s="6"/>
      <c r="F230" s="4"/>
      <c r="G230" s="3"/>
      <c r="H230" s="3"/>
      <c r="I230" s="3"/>
      <c r="J230" s="3"/>
    </row>
    <row r="231" spans="1:10" x14ac:dyDescent="0.25">
      <c r="A231" s="3" t="str">
        <f>CLEAN("IOWA")</f>
        <v>IOWA</v>
      </c>
      <c r="B231" s="6" t="str">
        <f>CLEAN("1204-04-07")</f>
        <v>1204-04-07</v>
      </c>
      <c r="C231" s="6" t="str">
        <f>CLEAN("1204-04-77")</f>
        <v>1204-04-77</v>
      </c>
      <c r="D231" s="6">
        <v>2019</v>
      </c>
      <c r="E231" s="6" t="str">
        <f>CLEAN("USH-151")</f>
        <v>USH-151</v>
      </c>
      <c r="F231" s="4">
        <v>43326</v>
      </c>
      <c r="G231" s="3" t="str">
        <f>CLEAN("PLATTEVILLE - MADISON")</f>
        <v>PLATTEVILLE - MADISON</v>
      </c>
      <c r="H231" s="3" t="str">
        <f>CLEAN("STH 23 TO USH 18//B-25-16 THRU -24")</f>
        <v>STH 23 TO USH 18//B-25-16 THRU -24</v>
      </c>
      <c r="I231" s="3" t="str">
        <f>CLEAN("CONST/PAVRPL/BRI DECK O'LAY")</f>
        <v>CONST/PAVRPL/BRI DECK O'LAY</v>
      </c>
      <c r="J231" s="3">
        <v>3.8439999999999999</v>
      </c>
    </row>
    <row r="232" spans="1:10" x14ac:dyDescent="0.25">
      <c r="A232" s="3" t="str">
        <f>CLEAN("IOWA")</f>
        <v>IOWA</v>
      </c>
      <c r="B232" s="6" t="str">
        <f>CLEAN("5940-02-70")</f>
        <v>5940-02-70</v>
      </c>
      <c r="C232" s="6" t="str">
        <f>CLEAN("5940-02-70")</f>
        <v>5940-02-70</v>
      </c>
      <c r="D232" s="6">
        <v>2020</v>
      </c>
      <c r="E232" s="6" t="str">
        <f>CLEAN("STH-133")</f>
        <v>STH-133</v>
      </c>
      <c r="F232" s="4">
        <v>43824</v>
      </c>
      <c r="G232" s="3" t="str">
        <f>CLEAN("IOWA COUNTY  2017 FLOOD EVENT")</f>
        <v>IOWA COUNTY  2017 FLOOD EVENT</v>
      </c>
      <c r="H232" s="3" t="str">
        <f>CLEAN("BIGLOW HILL RD TO STH130(WI-17-076)")</f>
        <v>BIGLOW HILL RD TO STH130(WI-17-076)</v>
      </c>
      <c r="I232" s="3" t="str">
        <f>CLEAN("CONST/FLOOD 2017/EMERGENCY REPAIR")</f>
        <v>CONST/FLOOD 2017/EMERGENCY REPAIR</v>
      </c>
      <c r="J232" s="3">
        <v>2.12</v>
      </c>
    </row>
    <row r="233" spans="1:10" x14ac:dyDescent="0.25">
      <c r="A233" s="3" t="str">
        <f>CLEAN("IOWA")</f>
        <v>IOWA</v>
      </c>
      <c r="B233" s="6" t="str">
        <f>CLEAN("5245-03-80")</f>
        <v>5245-03-80</v>
      </c>
      <c r="C233" s="6" t="str">
        <f>CLEAN("5245-03-80")</f>
        <v>5245-03-80</v>
      </c>
      <c r="D233" s="6">
        <v>2020</v>
      </c>
      <c r="E233" s="6" t="str">
        <f>CLEAN("STH-023")</f>
        <v>STH-023</v>
      </c>
      <c r="F233" s="4">
        <v>43855</v>
      </c>
      <c r="G233" s="3" t="str">
        <f>CLEAN("STH 11 - MINERAL POINT")</f>
        <v>STH 11 - MINERAL POINT</v>
      </c>
      <c r="H233" s="3" t="str">
        <f>CLEAN("STH 39 TO MERRY CHRISTMAS LANE")</f>
        <v>STH 39 TO MERRY CHRISTMAS LANE</v>
      </c>
      <c r="I233" s="3" t="str">
        <f>CLEAN("LFA/ REPLACE GUARDRAIL &amp; CULVERT")</f>
        <v>LFA/ REPLACE GUARDRAIL &amp; CULVERT</v>
      </c>
      <c r="J233" s="3">
        <v>0.28599999999999998</v>
      </c>
    </row>
    <row r="234" spans="1:10" x14ac:dyDescent="0.25">
      <c r="A234" s="3" t="str">
        <f>CLEAN("IOWA")</f>
        <v>IOWA</v>
      </c>
      <c r="B234" s="6" t="str">
        <f>CLEAN("5255-01-82")</f>
        <v>5255-01-82</v>
      </c>
      <c r="C234" s="6" t="str">
        <f>CLEAN("5255-01-82")</f>
        <v>5255-01-82</v>
      </c>
      <c r="D234" s="6">
        <v>2020</v>
      </c>
      <c r="E234" s="6" t="str">
        <f>CLEAN("LOC-STR")</f>
        <v>LOC-STR</v>
      </c>
      <c r="F234" s="4">
        <v>43915</v>
      </c>
      <c r="G234" s="3" t="str">
        <f>CLEAN("MINERAL POINT - SPRING GREEN")</f>
        <v>MINERAL POINT - SPRING GREEN</v>
      </c>
      <c r="H234" s="3" t="str">
        <f>CLEAN("TALIESIN TRAIL STRUCTURE B-25-XXXX")</f>
        <v>TALIESIN TRAIL STRUCTURE B-25-XXXX</v>
      </c>
      <c r="I234" s="3" t="str">
        <f>CLEAN("LFA/ BRIDGE REPLACEMENT")</f>
        <v>LFA/ BRIDGE REPLACEMENT</v>
      </c>
      <c r="J234" s="3">
        <v>0</v>
      </c>
    </row>
    <row r="235" spans="1:10" x14ac:dyDescent="0.25">
      <c r="A235" s="3" t="str">
        <f>CLEAN("IOWA")</f>
        <v>IOWA</v>
      </c>
      <c r="B235" s="6" t="str">
        <f>CLEAN("1204-05-06")</f>
        <v>1204-05-06</v>
      </c>
      <c r="C235" s="6" t="str">
        <f>CLEAN("1204-05-76")</f>
        <v>1204-05-76</v>
      </c>
      <c r="D235" s="6">
        <v>2021</v>
      </c>
      <c r="E235" s="6" t="str">
        <f>CLEAN("USH-018")</f>
        <v>USH-018</v>
      </c>
      <c r="F235" s="4">
        <v>44145</v>
      </c>
      <c r="G235" s="3" t="str">
        <f>CLEAN("DODGEVILLE - MOUNT HOREB")</f>
        <v>DODGEVILLE - MOUNT HOREB</v>
      </c>
      <c r="H235" s="3" t="str">
        <f>CLEAN("CTH BB TO CTH JG")</f>
        <v>CTH BB TO CTH JG</v>
      </c>
      <c r="I235" s="3" t="str">
        <f>CLEAN("CONST/MEDIAN CABLE BARRIER")</f>
        <v>CONST/MEDIAN CABLE BARRIER</v>
      </c>
      <c r="J235" s="3">
        <v>9.2159999999999993</v>
      </c>
    </row>
    <row r="236" spans="1:10" x14ac:dyDescent="0.25">
      <c r="A236" s="3" t="str">
        <f>CLEAN("IOWA")</f>
        <v>IOWA</v>
      </c>
      <c r="B236" s="6" t="str">
        <f>CLEAN("5953-02-03")</f>
        <v>5953-02-03</v>
      </c>
      <c r="C236" s="6" t="str">
        <f>CLEAN("5953-02-73")</f>
        <v>5953-02-73</v>
      </c>
      <c r="D236" s="6">
        <v>2022</v>
      </c>
      <c r="E236" s="6" t="str">
        <f>CLEAN("STH-191")</f>
        <v>STH-191</v>
      </c>
      <c r="F236" s="4">
        <v>44544</v>
      </c>
      <c r="G236" s="3" t="str">
        <f>CLEAN("DODGEVILLE - HOLLANDALE")</f>
        <v>DODGEVILLE - HOLLANDALE</v>
      </c>
      <c r="H236" s="3" t="str">
        <f>CLEAN("DIAMOND OAKS DRIVE TO CTH K")</f>
        <v>DIAMOND OAKS DRIVE TO CTH K</v>
      </c>
      <c r="I236" s="3" t="str">
        <f>CLEAN("CONST/ MILL AND OVERLAY")</f>
        <v>CONST/ MILL AND OVERLAY</v>
      </c>
      <c r="J236" s="3">
        <v>11.83</v>
      </c>
    </row>
    <row r="237" spans="1:10" x14ac:dyDescent="0.25">
      <c r="A237" s="3" t="str">
        <f>CLEAN("IOWA")</f>
        <v>IOWA</v>
      </c>
      <c r="B237" s="6" t="str">
        <f>CLEAN("5939-01-30")</f>
        <v>5939-01-30</v>
      </c>
      <c r="C237" s="6" t="str">
        <f>CLEAN("5939-01-60")</f>
        <v>5939-01-60</v>
      </c>
      <c r="D237" s="6">
        <v>2022</v>
      </c>
      <c r="E237" s="6" t="str">
        <f>CLEAN("STH-080")</f>
        <v>STH-080</v>
      </c>
      <c r="F237" s="4">
        <v>44628</v>
      </c>
      <c r="G237" s="3" t="str">
        <f>CLEAN("AVOCA - RICHLAND CENTER")</f>
        <v>AVOCA - RICHLAND CENTER</v>
      </c>
      <c r="H237" s="3" t="str">
        <f>CLEAN("STH 133 TO WEST COUNTY LINE")</f>
        <v>STH 133 TO WEST COUNTY LINE</v>
      </c>
      <c r="I237" s="3" t="str">
        <f>CLEAN("CONSTRUCTION/ MILL &amp; OVERLAY")</f>
        <v>CONSTRUCTION/ MILL &amp; OVERLAY</v>
      </c>
      <c r="J237" s="3">
        <v>4.03</v>
      </c>
    </row>
    <row r="238" spans="1:10" x14ac:dyDescent="0.25">
      <c r="A238" s="3" t="str">
        <f>CLEAN("IOWA")</f>
        <v>IOWA</v>
      </c>
      <c r="B238" s="6" t="str">
        <f>CLEAN("5940-02-30")</f>
        <v>5940-02-30</v>
      </c>
      <c r="C238" s="6" t="str">
        <f>CLEAN("5940-02-60")</f>
        <v>5940-02-60</v>
      </c>
      <c r="D238" s="6">
        <v>2022</v>
      </c>
      <c r="E238" s="6" t="str">
        <f>CLEAN("STH-133")</f>
        <v>STH-133</v>
      </c>
      <c r="F238" s="4">
        <v>44628</v>
      </c>
      <c r="G238" s="3" t="str">
        <f>CLEAN("MUSCODA - LONE ROCK")</f>
        <v>MUSCODA - LONE ROCK</v>
      </c>
      <c r="H238" s="3" t="str">
        <f>CLEAN("STH 80 TO STH 130")</f>
        <v>STH 80 TO STH 130</v>
      </c>
      <c r="I238" s="3" t="str">
        <f>CLEAN("CONSTRUCTION/ MILL &amp; OVERLAY")</f>
        <v>CONSTRUCTION/ MILL &amp; OVERLAY</v>
      </c>
      <c r="J238" s="3">
        <v>8.14</v>
      </c>
    </row>
    <row r="239" spans="1:10" x14ac:dyDescent="0.25">
      <c r="A239" s="3" t="str">
        <f>CLEAN("IOWA")</f>
        <v>IOWA</v>
      </c>
      <c r="B239" s="6" t="str">
        <f>CLEAN("5939-00-00")</f>
        <v>5939-00-00</v>
      </c>
      <c r="C239" s="6" t="str">
        <f>CLEAN("5939-00-70")</f>
        <v>5939-00-70</v>
      </c>
      <c r="D239" s="6">
        <v>2024</v>
      </c>
      <c r="E239" s="6" t="str">
        <f>CLEAN("STH-080")</f>
        <v>STH-080</v>
      </c>
      <c r="F239" s="4">
        <v>45244</v>
      </c>
      <c r="G239" s="3" t="str">
        <f>CLEAN("COBB - AVOCA")</f>
        <v>COBB - AVOCA</v>
      </c>
      <c r="H239" s="3" t="str">
        <f>CLEAN("USH 18 TO KENNEDY STREET")</f>
        <v>USH 18 TO KENNEDY STREET</v>
      </c>
      <c r="I239" s="3" t="str">
        <f>CLEAN("CONST/ MILL AND OVERLAY")</f>
        <v>CONST/ MILL AND OVERLAY</v>
      </c>
      <c r="J239" s="3">
        <v>6.67</v>
      </c>
    </row>
    <row r="240" spans="1:10" x14ac:dyDescent="0.25">
      <c r="A240" s="3" t="str">
        <f>CLEAN("IOWA")</f>
        <v>IOWA</v>
      </c>
      <c r="B240" s="6" t="str">
        <f>CLEAN("5952-03-02")</f>
        <v>5952-03-02</v>
      </c>
      <c r="C240" s="6" t="str">
        <f>CLEAN("5952-03-72")</f>
        <v>5952-03-72</v>
      </c>
      <c r="D240" s="6">
        <v>2024</v>
      </c>
      <c r="E240" s="6" t="str">
        <f>CLEAN("STH-039")</f>
        <v>STH-039</v>
      </c>
      <c r="F240" s="4">
        <v>45244</v>
      </c>
      <c r="G240" s="3" t="str">
        <f>CLEAN("EDMUND - MINERAL POINT")</f>
        <v>EDMUND - MINERAL POINT</v>
      </c>
      <c r="H240" s="3" t="str">
        <f>CLEAN("USH 18 TO N LIMITS V LINDEN")</f>
        <v>USH 18 TO N LIMITS V LINDEN</v>
      </c>
      <c r="I240" s="3" t="str">
        <f>CLEAN("CONST/ MILL AND OVERLAY")</f>
        <v>CONST/ MILL AND OVERLAY</v>
      </c>
      <c r="J240" s="3">
        <v>3.51</v>
      </c>
    </row>
    <row r="241" spans="1:10" x14ac:dyDescent="0.25">
      <c r="A241" s="3" t="str">
        <f>CLEAN("IOWA")</f>
        <v>IOWA</v>
      </c>
      <c r="B241" s="6" t="str">
        <f>CLEAN("5952-03-03")</f>
        <v>5952-03-03</v>
      </c>
      <c r="C241" s="6" t="str">
        <f>CLEAN("5952-03-73")</f>
        <v>5952-03-73</v>
      </c>
      <c r="D241" s="6">
        <v>2024</v>
      </c>
      <c r="E241" s="6" t="str">
        <f>CLEAN("STH-039")</f>
        <v>STH-039</v>
      </c>
      <c r="F241" s="4">
        <v>45244</v>
      </c>
      <c r="G241" s="3" t="str">
        <f>CLEAN("EDMUND - MINERAL POINT")</f>
        <v>EDMUND - MINERAL POINT</v>
      </c>
      <c r="H241" s="3" t="str">
        <f>CLEAN("N LIMITS V LINDEN TO FAIR STREET")</f>
        <v>N LIMITS V LINDEN TO FAIR STREET</v>
      </c>
      <c r="I241" s="3" t="str">
        <f>CLEAN("CONS/MILL&amp;OVERLAY  SPOT PAINT BRDGS")</f>
        <v>CONS/MILL&amp;OVERLAY  SPOT PAINT BRDGS</v>
      </c>
      <c r="J241" s="3">
        <v>6.31</v>
      </c>
    </row>
    <row r="242" spans="1:10" x14ac:dyDescent="0.25">
      <c r="A242" s="3" t="str">
        <f>CLEAN("IOWA")</f>
        <v>IOWA</v>
      </c>
      <c r="B242" s="6" t="str">
        <f>CLEAN("1640-00-33")</f>
        <v>1640-00-33</v>
      </c>
      <c r="C242" s="6" t="str">
        <f>CLEAN("1640-00-63")</f>
        <v>1640-00-63</v>
      </c>
      <c r="D242" s="6">
        <v>2026</v>
      </c>
      <c r="E242" s="6" t="str">
        <f>CLEAN("USH-014")</f>
        <v>USH-014</v>
      </c>
      <c r="F242" s="4">
        <v>45972</v>
      </c>
      <c r="G242" s="3" t="str">
        <f>CLEAN("SPRING GREEN - MADISON")</f>
        <v>SPRING GREEN - MADISON</v>
      </c>
      <c r="H242" s="3" t="str">
        <f>CLEAN("WISCONSIN RIVER TO OAK STREET")</f>
        <v>WISCONSIN RIVER TO OAK STREET</v>
      </c>
      <c r="I242" s="3" t="str">
        <f>CLEAN("CONST/ MILL AND OVERLAY")</f>
        <v>CONST/ MILL AND OVERLAY</v>
      </c>
      <c r="J242" s="3">
        <v>6.5659999999999998</v>
      </c>
    </row>
    <row r="243" spans="1:10" x14ac:dyDescent="0.25">
      <c r="A243" s="3"/>
      <c r="B243" s="6"/>
      <c r="C243" s="6"/>
      <c r="D243" s="6"/>
      <c r="E243" s="6"/>
      <c r="F243" s="4"/>
      <c r="G243" s="3"/>
      <c r="H243" s="3"/>
      <c r="I243" s="3"/>
      <c r="J243" s="3"/>
    </row>
    <row r="244" spans="1:10" x14ac:dyDescent="0.25">
      <c r="A244" s="3" t="str">
        <f>CLEAN("JEFFERSON")</f>
        <v>JEFFERSON</v>
      </c>
      <c r="B244" s="6" t="str">
        <f>CLEAN("1067-02-14")</f>
        <v>1067-02-14</v>
      </c>
      <c r="C244" s="6" t="str">
        <f>CLEAN("1067-02-74")</f>
        <v>1067-02-74</v>
      </c>
      <c r="D244" s="6">
        <v>2020</v>
      </c>
      <c r="E244" s="6" t="str">
        <f>CLEAN("IH -094")</f>
        <v>IH -094</v>
      </c>
      <c r="F244" s="4">
        <v>43781</v>
      </c>
      <c r="G244" s="3" t="str">
        <f>CLEAN("LAKE MILLS - OCONOMOWOC")</f>
        <v>LAKE MILLS - OCONOMOWOC</v>
      </c>
      <c r="H244" s="3" t="str">
        <f>CLEAN("HILLSIDE DR AND JOHNSON CR BRIDGES")</f>
        <v>HILLSIDE DR AND JOHNSON CR BRIDGES</v>
      </c>
      <c r="I244" s="3" t="str">
        <f>CLEAN("CONST/REPLACE B-28-0188 0189 0190")</f>
        <v>CONST/REPLACE B-28-0188 0189 0190</v>
      </c>
      <c r="J244" s="3">
        <v>1.321</v>
      </c>
    </row>
    <row r="245" spans="1:10" x14ac:dyDescent="0.25">
      <c r="A245" s="3" t="str">
        <f>CLEAN("JEFFERSON")</f>
        <v>JEFFERSON</v>
      </c>
      <c r="B245" s="6" t="str">
        <f>CLEAN("1067-02-14")</f>
        <v>1067-02-14</v>
      </c>
      <c r="C245" s="6" t="str">
        <f>CLEAN("1067-02-75")</f>
        <v>1067-02-75</v>
      </c>
      <c r="D245" s="6">
        <v>2020</v>
      </c>
      <c r="E245" s="6" t="str">
        <f>CLEAN("IH -094")</f>
        <v>IH -094</v>
      </c>
      <c r="F245" s="4">
        <v>43781</v>
      </c>
      <c r="G245" s="3" t="str">
        <f>CLEAN("LAKE MILLS - OCONOMOWOC")</f>
        <v>LAKE MILLS - OCONOMOWOC</v>
      </c>
      <c r="H245" s="3" t="str">
        <f>CLEAN("CTH X  B-28-25; CTH D  B-28-27")</f>
        <v>CTH X  B-28-25; CTH D  B-28-27</v>
      </c>
      <c r="I245" s="3" t="str">
        <f>CLEAN("CONST OPS/REDECK &amp; WIDEN")</f>
        <v>CONST OPS/REDECK &amp; WIDEN</v>
      </c>
      <c r="J245" s="3">
        <v>0</v>
      </c>
    </row>
    <row r="246" spans="1:10" x14ac:dyDescent="0.25">
      <c r="A246" s="3" t="str">
        <f>CLEAN("JEFFERSON")</f>
        <v>JEFFERSON</v>
      </c>
      <c r="B246" s="6" t="str">
        <f>CLEAN("1066-06-02")</f>
        <v>1066-06-02</v>
      </c>
      <c r="C246" s="6" t="str">
        <f>CLEAN("1066-06-72")</f>
        <v>1066-06-72</v>
      </c>
      <c r="D246" s="6">
        <v>2020</v>
      </c>
      <c r="E246" s="6" t="str">
        <f>CLEAN("IH -094")</f>
        <v>IH -094</v>
      </c>
      <c r="F246" s="4">
        <v>43872</v>
      </c>
      <c r="G246" s="3" t="str">
        <f>CLEAN("LAKE MILLS - OCONOMOWOC")</f>
        <v>LAKE MILLS - OCONOMOWOC</v>
      </c>
      <c r="H246" s="3" t="str">
        <f>CLEAN("CTH Q BRIDGE B-28-0186")</f>
        <v>CTH Q BRIDGE B-28-0186</v>
      </c>
      <c r="I246" s="3" t="str">
        <f>CLEAN("CONST OPS/BRIDGE REPLACEMENT")</f>
        <v>CONST OPS/BRIDGE REPLACEMENT</v>
      </c>
      <c r="J246" s="3">
        <v>0</v>
      </c>
    </row>
    <row r="247" spans="1:10" x14ac:dyDescent="0.25">
      <c r="A247" s="3" t="str">
        <f>CLEAN("JEFFERSON")</f>
        <v>JEFFERSON</v>
      </c>
      <c r="B247" s="6" t="str">
        <f>CLEAN("1067-02-06")</f>
        <v>1067-02-06</v>
      </c>
      <c r="C247" s="6" t="str">
        <f>CLEAN("1067-02-76")</f>
        <v>1067-02-76</v>
      </c>
      <c r="D247" s="6">
        <v>2020</v>
      </c>
      <c r="E247" s="6" t="str">
        <f>CLEAN("IH -094")</f>
        <v>IH -094</v>
      </c>
      <c r="F247" s="4">
        <v>43872</v>
      </c>
      <c r="G247" s="3" t="str">
        <f>CLEAN("LAKE MILLS - OCONOMOWOC")</f>
        <v>LAKE MILLS - OCONOMOWOC</v>
      </c>
      <c r="H247" s="3" t="str">
        <f>CLEAN("ROCK CREEK BRIDGE B-28-0187")</f>
        <v>ROCK CREEK BRIDGE B-28-0187</v>
      </c>
      <c r="I247" s="3" t="str">
        <f>CLEAN("CONST/REPLACE STRUCTURE")</f>
        <v>CONST/REPLACE STRUCTURE</v>
      </c>
      <c r="J247" s="3">
        <v>7.0999999999999994E-2</v>
      </c>
    </row>
    <row r="248" spans="1:10" x14ac:dyDescent="0.25">
      <c r="A248" s="3" t="str">
        <f>CLEAN("JEFFERSON")</f>
        <v>JEFFERSON</v>
      </c>
      <c r="B248" s="6" t="str">
        <f>CLEAN("1067-04-01")</f>
        <v>1067-04-01</v>
      </c>
      <c r="C248" s="6" t="str">
        <f>CLEAN("1067-04-71")</f>
        <v>1067-04-71</v>
      </c>
      <c r="D248" s="6">
        <v>2020</v>
      </c>
      <c r="E248" s="6" t="str">
        <f>CLEAN("IH -094")</f>
        <v>IH -094</v>
      </c>
      <c r="F248" s="4">
        <v>43872</v>
      </c>
      <c r="G248" s="3" t="str">
        <f>CLEAN("MADISON - OCONOMOWOC")</f>
        <v>MADISON - OCONOMOWOC</v>
      </c>
      <c r="H248" s="3" t="str">
        <f>CLEAN("AIRPORT ROAD TO CTH Y")</f>
        <v>AIRPORT ROAD TO CTH Y</v>
      </c>
      <c r="I248" s="3" t="str">
        <f>CLEAN("CONST/RESURFACE EB &amp; WB")</f>
        <v>CONST/RESURFACE EB &amp; WB</v>
      </c>
      <c r="J248" s="3">
        <v>10.707000000000001</v>
      </c>
    </row>
    <row r="249" spans="1:10" x14ac:dyDescent="0.25">
      <c r="A249" s="3" t="str">
        <f>CLEAN("JEFFERSON")</f>
        <v>JEFFERSON</v>
      </c>
      <c r="B249" s="6" t="str">
        <f>CLEAN("1067-01-05")</f>
        <v>1067-01-05</v>
      </c>
      <c r="C249" s="6" t="str">
        <f>CLEAN("1067-01-85")</f>
        <v>1067-01-85</v>
      </c>
      <c r="D249" s="6">
        <v>2021</v>
      </c>
      <c r="E249" s="6" t="str">
        <f>CLEAN("IH -094")</f>
        <v>IH -094</v>
      </c>
      <c r="F249" s="4">
        <v>44173</v>
      </c>
      <c r="G249" s="3" t="str">
        <f>CLEAN("LAKE MILLS - OCONOMOWOC")</f>
        <v>LAKE MILLS - OCONOMOWOC</v>
      </c>
      <c r="H249" s="3" t="str">
        <f>CLEAN("UP RR BRIDGES B-28-0018  B-28-0019")</f>
        <v>UP RR BRIDGES B-28-0018  B-28-0019</v>
      </c>
      <c r="I249" s="3" t="str">
        <f>CLEAN("CONST/REPL JTS/BEARINGS/APPR SLABS")</f>
        <v>CONST/REPL JTS/BEARINGS/APPR SLABS</v>
      </c>
      <c r="J249" s="3">
        <v>3.0000000000000001E-3</v>
      </c>
    </row>
    <row r="250" spans="1:10" x14ac:dyDescent="0.25">
      <c r="A250" s="3" t="str">
        <f>CLEAN("JEFFERSON")</f>
        <v>JEFFERSON</v>
      </c>
      <c r="B250" s="6" t="str">
        <f>CLEAN("1067-04-02")</f>
        <v>1067-04-02</v>
      </c>
      <c r="C250" s="6" t="str">
        <f>CLEAN("1067-04-72")</f>
        <v>1067-04-72</v>
      </c>
      <c r="D250" s="6">
        <v>2021</v>
      </c>
      <c r="E250" s="6" t="str">
        <f>CLEAN("IH -094")</f>
        <v>IH -094</v>
      </c>
      <c r="F250" s="4">
        <v>44173</v>
      </c>
      <c r="G250" s="3" t="str">
        <f>CLEAN("LAKE MILLS - OCONOMOWOC")</f>
        <v>LAKE MILLS - OCONOMOWOC</v>
      </c>
      <c r="H250" s="3" t="str">
        <f>CLEAN("STH 26 TO EAST COUNTY LINE")</f>
        <v>STH 26 TO EAST COUNTY LINE</v>
      </c>
      <c r="I250" s="3" t="str">
        <f>CLEAN("CONST/RESURFACE EB &amp; WB RDWYS")</f>
        <v>CONST/RESURFACE EB &amp; WB RDWYS</v>
      </c>
      <c r="J250" s="3">
        <v>11.054</v>
      </c>
    </row>
    <row r="251" spans="1:10" x14ac:dyDescent="0.25">
      <c r="A251" s="3" t="str">
        <f>CLEAN("JEFFERSON")</f>
        <v>JEFFERSON</v>
      </c>
      <c r="B251" s="6" t="str">
        <f>CLEAN("1067-04-30")</f>
        <v>1067-04-30</v>
      </c>
      <c r="C251" s="6" t="str">
        <f>CLEAN("1067-04-60")</f>
        <v>1067-04-60</v>
      </c>
      <c r="D251" s="6">
        <v>2021</v>
      </c>
      <c r="E251" s="6" t="str">
        <f>CLEAN("IH -094")</f>
        <v>IH -094</v>
      </c>
      <c r="F251" s="4">
        <v>44173</v>
      </c>
      <c r="G251" s="3" t="str">
        <f>CLEAN("LAKE MILLS - OCONOMOWOC")</f>
        <v>LAKE MILLS - OCONOMOWOC</v>
      </c>
      <c r="H251" s="3" t="str">
        <f>CLEAN("RA 13 TO HILLSIDE DR (2 SEGMENTS)")</f>
        <v>RA 13 TO HILLSIDE DR (2 SEGMENTS)</v>
      </c>
      <c r="I251" s="3" t="str">
        <f>CLEAN("CONST/MEDIAN CABLE BARRIER")</f>
        <v>CONST/MEDIAN CABLE BARRIER</v>
      </c>
      <c r="J251" s="3">
        <v>2.4129999999999998</v>
      </c>
    </row>
    <row r="252" spans="1:10" x14ac:dyDescent="0.25">
      <c r="A252" s="3" t="str">
        <f>CLEAN("JEFFERSON")</f>
        <v>JEFFERSON</v>
      </c>
      <c r="B252" s="6" t="str">
        <f>CLEAN("1067-02-02")</f>
        <v>1067-02-02</v>
      </c>
      <c r="C252" s="6" t="str">
        <f>CLEAN("1067-02-72")</f>
        <v>1067-02-72</v>
      </c>
      <c r="D252" s="6">
        <v>2021</v>
      </c>
      <c r="E252" s="6" t="str">
        <f>CLEAN("IH -094")</f>
        <v>IH -094</v>
      </c>
      <c r="F252" s="4">
        <v>44208</v>
      </c>
      <c r="G252" s="3" t="str">
        <f>CLEAN("MADISON - LAKE MILLS")</f>
        <v>MADISON - LAKE MILLS</v>
      </c>
      <c r="H252" s="3" t="str">
        <f>CLEAN("CTH A  B-28-41; AIRPORT RD  B-28-35")</f>
        <v>CTH A  B-28-41; AIRPORT RD  B-28-35</v>
      </c>
      <c r="I252" s="3" t="str">
        <f>CLEAN("CONST OPS//DECK REPLACE &amp; BPC")</f>
        <v>CONST OPS//DECK REPLACE &amp; BPC</v>
      </c>
      <c r="J252" s="3">
        <v>0.02</v>
      </c>
    </row>
    <row r="253" spans="1:10" x14ac:dyDescent="0.25">
      <c r="A253" s="3" t="str">
        <f>CLEAN("JEFFERSON")</f>
        <v>JEFFERSON</v>
      </c>
      <c r="B253" s="6" t="str">
        <f>CLEAN("3576-01-00")</f>
        <v>3576-01-00</v>
      </c>
      <c r="C253" s="6" t="str">
        <f>CLEAN("3576-01-70")</f>
        <v>3576-01-70</v>
      </c>
      <c r="D253" s="6">
        <v>2021</v>
      </c>
      <c r="E253" s="6" t="str">
        <f>CLEAN("STH-106")</f>
        <v>STH-106</v>
      </c>
      <c r="F253" s="4">
        <v>44327</v>
      </c>
      <c r="G253" s="3" t="str">
        <f>CLEAN("FT ATKINSON - PALMYRA")</f>
        <v>FT ATKINSON - PALMYRA</v>
      </c>
      <c r="H253" s="3" t="str">
        <f>CLEAN("CTH CI TO FIRST STREET")</f>
        <v>CTH CI TO FIRST STREET</v>
      </c>
      <c r="I253" s="3" t="str">
        <f>CLEAN("CONST/ RESURFACE")</f>
        <v>CONST/ RESURFACE</v>
      </c>
      <c r="J253" s="3">
        <v>4.9000000000000004</v>
      </c>
    </row>
    <row r="254" spans="1:10" x14ac:dyDescent="0.25">
      <c r="A254" s="3" t="str">
        <f>CLEAN("JEFFERSON")</f>
        <v>JEFFERSON</v>
      </c>
      <c r="B254" s="6" t="str">
        <f>CLEAN("3575-03-01")</f>
        <v>3575-03-01</v>
      </c>
      <c r="C254" s="6" t="str">
        <f>CLEAN("3575-03-71")</f>
        <v>3575-03-71</v>
      </c>
      <c r="D254" s="6">
        <v>2022</v>
      </c>
      <c r="E254" s="6" t="str">
        <f>CLEAN("USH-012")</f>
        <v>USH-012</v>
      </c>
      <c r="F254" s="4">
        <v>44509</v>
      </c>
      <c r="G254" s="3" t="str">
        <f>CLEAN("FORT ATKINSON - WHITEWATER")</f>
        <v>FORT ATKINSON - WHITEWATER</v>
      </c>
      <c r="H254" s="3" t="str">
        <f>CLEAN("CTH M - BUCKINGHAM ROAD")</f>
        <v>CTH M - BUCKINGHAM ROAD</v>
      </c>
      <c r="I254" s="3" t="str">
        <f>CLEAN("CONST OPS/GRADE BASE  AND SURFACE")</f>
        <v>CONST OPS/GRADE BASE  AND SURFACE</v>
      </c>
      <c r="J254" s="3">
        <v>4.04</v>
      </c>
    </row>
    <row r="255" spans="1:10" x14ac:dyDescent="0.25">
      <c r="A255" s="3" t="str">
        <f>CLEAN("JEFFERSON")</f>
        <v>JEFFERSON</v>
      </c>
      <c r="B255" s="6" t="str">
        <f>CLEAN("3575-04-01")</f>
        <v>3575-04-01</v>
      </c>
      <c r="C255" s="6" t="str">
        <f>CLEAN("3575-04-81")</f>
        <v>3575-04-81</v>
      </c>
      <c r="D255" s="6">
        <v>2022</v>
      </c>
      <c r="E255" s="6" t="str">
        <f>CLEAN("USH-012")</f>
        <v>USH-012</v>
      </c>
      <c r="F255" s="4">
        <v>44544</v>
      </c>
      <c r="G255" s="3" t="str">
        <f>CLEAN("C FT ATKINSON  ROBERT STREET")</f>
        <v>C FT ATKINSON  ROBERT STREET</v>
      </c>
      <c r="H255" s="3" t="str">
        <f>CLEAN("ROCK RIVER BRIDGE B-28-0009")</f>
        <v>ROCK RIVER BRIDGE B-28-0009</v>
      </c>
      <c r="I255" s="3" t="str">
        <f>CLEAN("CONSTRUCTION/ DECK REPLACEMENT")</f>
        <v>CONSTRUCTION/ DECK REPLACEMENT</v>
      </c>
      <c r="J255" s="3">
        <v>0.18099999999999999</v>
      </c>
    </row>
    <row r="256" spans="1:10" x14ac:dyDescent="0.25">
      <c r="A256" s="3" t="str">
        <f>CLEAN("JEFFERSON")</f>
        <v>JEFFERSON</v>
      </c>
      <c r="B256" s="6" t="str">
        <f>CLEAN("3576-01-01")</f>
        <v>3576-01-01</v>
      </c>
      <c r="C256" s="6" t="str">
        <f>CLEAN("3576-01-71")</f>
        <v>3576-01-71</v>
      </c>
      <c r="D256" s="6">
        <v>2022</v>
      </c>
      <c r="E256" s="6" t="str">
        <f>CLEAN("STH-106")</f>
        <v>STH-106</v>
      </c>
      <c r="F256" s="4">
        <v>44544</v>
      </c>
      <c r="G256" s="3" t="str">
        <f>CLEAN("ALBION - FT ATKINSON")</f>
        <v>ALBION - FT ATKINSON</v>
      </c>
      <c r="H256" s="3" t="str">
        <f>CLEAN("STH 73 TO PARK DRIVE")</f>
        <v>STH 73 TO PARK DRIVE</v>
      </c>
      <c r="I256" s="3" t="str">
        <f>CLEAN("CONST/ MILL AND OVERLAY")</f>
        <v>CONST/ MILL AND OVERLAY</v>
      </c>
      <c r="J256" s="3">
        <v>11.4</v>
      </c>
    </row>
    <row r="257" spans="1:10" x14ac:dyDescent="0.25">
      <c r="A257" s="3" t="str">
        <f>CLEAN("JEFFERSON")</f>
        <v>JEFFERSON</v>
      </c>
      <c r="B257" s="6" t="str">
        <f>CLEAN("1067-01-32")</f>
        <v>1067-01-32</v>
      </c>
      <c r="C257" s="6" t="str">
        <f>CLEAN("1067-01-62")</f>
        <v>1067-01-62</v>
      </c>
      <c r="D257" s="6">
        <v>2022</v>
      </c>
      <c r="E257" s="6" t="str">
        <f>CLEAN("IH -094")</f>
        <v>IH -094</v>
      </c>
      <c r="F257" s="4">
        <v>44600</v>
      </c>
      <c r="G257" s="3" t="str">
        <f>CLEAN("LAKE MILLS - OCONOMOWOC")</f>
        <v>LAKE MILLS - OCONOMOWOC</v>
      </c>
      <c r="H257" s="3" t="str">
        <f>CLEAN("CTH E STRUCTURE B-28-0049")</f>
        <v>CTH E STRUCTURE B-28-0049</v>
      </c>
      <c r="I257" s="3" t="str">
        <f>CLEAN("CONST/POLYMER BRG DECK O'LAY/PAINT")</f>
        <v>CONST/POLYMER BRG DECK O'LAY/PAINT</v>
      </c>
      <c r="J257" s="3">
        <v>2E-3</v>
      </c>
    </row>
    <row r="258" spans="1:10" x14ac:dyDescent="0.25">
      <c r="A258" s="3" t="str">
        <f>CLEAN("JEFFERSON")</f>
        <v>JEFFERSON</v>
      </c>
      <c r="B258" s="6" t="str">
        <f>CLEAN("3575-02-04")</f>
        <v>3575-02-04</v>
      </c>
      <c r="C258" s="6" t="str">
        <f>CLEAN("3575-02-73")</f>
        <v>3575-02-73</v>
      </c>
      <c r="D258" s="6">
        <v>2023</v>
      </c>
      <c r="E258" s="6" t="str">
        <f>CLEAN("USH-012")</f>
        <v>USH-012</v>
      </c>
      <c r="F258" s="4">
        <v>44908</v>
      </c>
      <c r="G258" s="3" t="str">
        <f>CLEAN("C FORT ATKINSON  WHITEWATER AVENUE")</f>
        <v>C FORT ATKINSON  WHITEWATER AVENUE</v>
      </c>
      <c r="H258" s="3" t="str">
        <f>CLEAN("MADISON AVENUE TO CTH M")</f>
        <v>MADISON AVENUE TO CTH M</v>
      </c>
      <c r="I258" s="3" t="str">
        <f>CLEAN("CONST OPS/MILL AND OVERLAY")</f>
        <v>CONST OPS/MILL AND OVERLAY</v>
      </c>
      <c r="J258" s="3">
        <v>1.56</v>
      </c>
    </row>
    <row r="259" spans="1:10" x14ac:dyDescent="0.25">
      <c r="A259" s="3" t="str">
        <f>CLEAN("JEFFERSON")</f>
        <v>JEFFERSON</v>
      </c>
      <c r="B259" s="6" t="str">
        <f>CLEAN("1370-00-03")</f>
        <v>1370-00-03</v>
      </c>
      <c r="C259" s="6" t="str">
        <f>CLEAN("1370-00-73")</f>
        <v>1370-00-73</v>
      </c>
      <c r="D259" s="6">
        <v>2024</v>
      </c>
      <c r="E259" s="6" t="str">
        <f>CLEAN("STH-016")</f>
        <v>STH-016</v>
      </c>
      <c r="F259" s="4">
        <v>45244</v>
      </c>
      <c r="G259" s="3" t="str">
        <f>CLEAN("WATERTOWN- WAUKESHA")</f>
        <v>WATERTOWN- WAUKESHA</v>
      </c>
      <c r="H259" s="3" t="str">
        <f>CLEAN("E MAIN ST TO 0.23MI E ROCK RIVER RD")</f>
        <v>E MAIN ST TO 0.23MI E ROCK RIVER RD</v>
      </c>
      <c r="I259" s="3" t="str">
        <f>CLEAN("CONST/PAVE REPL REPAIR B-28-12 -22")</f>
        <v>CONST/PAVE REPL REPAIR B-28-12 -22</v>
      </c>
      <c r="J259" s="3">
        <v>7.89</v>
      </c>
    </row>
    <row r="260" spans="1:10" x14ac:dyDescent="0.25">
      <c r="A260" s="3" t="str">
        <f>CLEAN("JEFFERSON")</f>
        <v>JEFFERSON</v>
      </c>
      <c r="B260" s="6" t="str">
        <f>CLEAN("1067-02-03")</f>
        <v>1067-02-03</v>
      </c>
      <c r="C260" s="6" t="str">
        <f>CLEAN("1067-02-73")</f>
        <v>1067-02-73</v>
      </c>
      <c r="D260" s="6">
        <v>2025</v>
      </c>
      <c r="E260" s="6" t="str">
        <f>CLEAN("IH -094")</f>
        <v>IH -094</v>
      </c>
      <c r="F260" s="4">
        <v>45545</v>
      </c>
      <c r="G260" s="3" t="str">
        <f>CLEAN("MADISON - LAKE MILLS")</f>
        <v>MADISON - LAKE MILLS</v>
      </c>
      <c r="H260" s="3" t="str">
        <f>CLEAN("NEWVILLE ROAD BR; ROCK LAKE ROAD BR")</f>
        <v>NEWVILLE ROAD BR; ROCK LAKE ROAD BR</v>
      </c>
      <c r="I260" s="3" t="str">
        <f>CLEAN("CONST/REPLACE WITH B-28-0184 -0185")</f>
        <v>CONST/REPLACE WITH B-28-0184 -0185</v>
      </c>
      <c r="J260" s="3">
        <v>0.128</v>
      </c>
    </row>
    <row r="261" spans="1:10" x14ac:dyDescent="0.25">
      <c r="A261" s="3" t="str">
        <f>CLEAN("JEFFERSON")</f>
        <v>JEFFERSON</v>
      </c>
      <c r="B261" s="6" t="str">
        <f>CLEAN("3601-00-04")</f>
        <v>3601-00-04</v>
      </c>
      <c r="C261" s="6" t="str">
        <f>CLEAN("3601-00-74")</f>
        <v>3601-00-74</v>
      </c>
      <c r="D261" s="6">
        <v>2025</v>
      </c>
      <c r="E261" s="6" t="str">
        <f>CLEAN("STH-089")</f>
        <v>STH-089</v>
      </c>
      <c r="F261" s="4">
        <v>45636</v>
      </c>
      <c r="G261" s="3" t="str">
        <f>CLEAN("FT ATKINSON - LAKE MILLS")</f>
        <v>FT ATKINSON - LAKE MILLS</v>
      </c>
      <c r="H261" s="3" t="str">
        <f>CLEAN("E BLACKHAWK DR TO USH 18")</f>
        <v>E BLACKHAWK DR TO USH 18</v>
      </c>
      <c r="I261" s="3" t="str">
        <f>CLEAN("CONST/ MILL AND OVERLAY")</f>
        <v>CONST/ MILL AND OVERLAY</v>
      </c>
      <c r="J261" s="3">
        <v>2.66</v>
      </c>
    </row>
    <row r="262" spans="1:10" x14ac:dyDescent="0.25">
      <c r="A262" s="3" t="str">
        <f>CLEAN("JEFFERSON")</f>
        <v>JEFFERSON</v>
      </c>
      <c r="B262" s="6" t="str">
        <f>CLEAN("3050-04-01")</f>
        <v>3050-04-01</v>
      </c>
      <c r="C262" s="6" t="str">
        <f>CLEAN("3050-04-81")</f>
        <v>3050-04-81</v>
      </c>
      <c r="D262" s="6">
        <v>2026</v>
      </c>
      <c r="E262" s="6" t="str">
        <f>CLEAN("STH-019")</f>
        <v>STH-019</v>
      </c>
      <c r="F262" s="4">
        <v>45972</v>
      </c>
      <c r="G262" s="3" t="str">
        <f>CLEAN("C WATERTOWN  MAIN STREET")</f>
        <v>C WATERTOWN  MAIN STREET</v>
      </c>
      <c r="H262" s="3" t="str">
        <f>CLEAN("ROCK RIVER STRUCTURE B-28-193")</f>
        <v>ROCK RIVER STRUCTURE B-28-193</v>
      </c>
      <c r="I262" s="3" t="str">
        <f>CLEAN("CONST/REPLACE STRUCTURE")</f>
        <v>CONST/REPLACE STRUCTURE</v>
      </c>
      <c r="J262" s="3">
        <v>0.06</v>
      </c>
    </row>
    <row r="263" spans="1:10" x14ac:dyDescent="0.25">
      <c r="A263" s="3" t="str">
        <f>CLEAN("JEFFERSON")</f>
        <v>JEFFERSON</v>
      </c>
      <c r="B263" s="6" t="str">
        <f>CLEAN("3110-00-05")</f>
        <v>3110-00-05</v>
      </c>
      <c r="C263" s="6" t="str">
        <f>CLEAN("3110-00-75")</f>
        <v>3110-00-75</v>
      </c>
      <c r="D263" s="6">
        <v>2026</v>
      </c>
      <c r="E263" s="6" t="str">
        <f>CLEAN("STH-059")</f>
        <v>STH-059</v>
      </c>
      <c r="F263" s="4">
        <v>46000</v>
      </c>
      <c r="G263" s="3" t="str">
        <f>CLEAN("WHITEWATER - NORTH PRAIRIE")</f>
        <v>WHITEWATER - NORTH PRAIRIE</v>
      </c>
      <c r="H263" s="3" t="str">
        <f>CLEAN("STH 106 TO EAST COUNTY LINE")</f>
        <v>STH 106 TO EAST COUNTY LINE</v>
      </c>
      <c r="I263" s="3" t="str">
        <f>CLEAN("CONST/ PAVE REPLACE")</f>
        <v>CONST/ PAVE REPLACE</v>
      </c>
      <c r="J263" s="3">
        <v>2.5099999999999998</v>
      </c>
    </row>
    <row r="264" spans="1:10" x14ac:dyDescent="0.25">
      <c r="A264" s="3" t="str">
        <f>CLEAN("JEFFERSON")</f>
        <v>JEFFERSON</v>
      </c>
      <c r="B264" s="6" t="str">
        <f>CLEAN("3576-01-05")</f>
        <v>3576-01-05</v>
      </c>
      <c r="C264" s="6" t="str">
        <f>CLEAN("3576-01-75")</f>
        <v>3576-01-75</v>
      </c>
      <c r="D264" s="6">
        <v>2026</v>
      </c>
      <c r="E264" s="6" t="str">
        <f>CLEAN("STH-106")</f>
        <v>STH-106</v>
      </c>
      <c r="F264" s="4">
        <v>46000</v>
      </c>
      <c r="G264" s="3" t="str">
        <f>CLEAN("FT ATKINSON - PALMYRA")</f>
        <v>FT ATKINSON - PALMYRA</v>
      </c>
      <c r="H264" s="3" t="str">
        <f>CLEAN("FIRST STREET TO STH 59")</f>
        <v>FIRST STREET TO STH 59</v>
      </c>
      <c r="I264" s="3" t="str">
        <f>CLEAN("CONST/ MILL AND OVERLAY")</f>
        <v>CONST/ MILL AND OVERLAY</v>
      </c>
      <c r="J264" s="3">
        <v>0.34</v>
      </c>
    </row>
    <row r="265" spans="1:10" x14ac:dyDescent="0.25">
      <c r="A265" s="3" t="str">
        <f>CLEAN("JEFFERSON")</f>
        <v>JEFFERSON</v>
      </c>
      <c r="B265" s="6" t="str">
        <f>CLEAN("3993-01-01")</f>
        <v>3993-01-01</v>
      </c>
      <c r="C265" s="6" t="str">
        <f>CLEAN("3993-01-81")</f>
        <v>3993-01-81</v>
      </c>
      <c r="D265" s="6">
        <v>2030</v>
      </c>
      <c r="E265" s="6" t="str">
        <f>CLEAN("LOC-STR")</f>
        <v>LOC-STR</v>
      </c>
      <c r="F265" s="4">
        <v>47463</v>
      </c>
      <c r="G265" s="3" t="str">
        <f>CLEAN("S MAIN STREET  C JEFFERSON")</f>
        <v>S MAIN STREET  C JEFFERSON</v>
      </c>
      <c r="H265" s="3" t="str">
        <f>CLEAN("ROCK RIVER STRUCTURE B-28-0192")</f>
        <v>ROCK RIVER STRUCTURE B-28-0192</v>
      </c>
      <c r="I265" s="3" t="str">
        <f>CLEAN("CONST/REPLACE STRUCTURE")</f>
        <v>CONST/REPLACE STRUCTURE</v>
      </c>
      <c r="J265" s="3">
        <v>9.5000000000000001E-2</v>
      </c>
    </row>
    <row r="266" spans="1:10" x14ac:dyDescent="0.25">
      <c r="A266" s="3"/>
      <c r="B266" s="6"/>
      <c r="C266" s="6"/>
      <c r="D266" s="6"/>
      <c r="E266" s="6"/>
      <c r="F266" s="4"/>
      <c r="G266" s="3"/>
      <c r="H266" s="3"/>
      <c r="I266" s="3"/>
      <c r="J266" s="3"/>
    </row>
    <row r="267" spans="1:10" x14ac:dyDescent="0.25">
      <c r="A267" s="3" t="str">
        <f>CLEAN("JUNEAU")</f>
        <v>JUNEAU</v>
      </c>
      <c r="B267" s="6" t="str">
        <f>CLEAN("1016-03-31")</f>
        <v>1016-03-31</v>
      </c>
      <c r="C267" s="6" t="str">
        <f>CLEAN("1016-03-61")</f>
        <v>1016-03-61</v>
      </c>
      <c r="D267" s="6">
        <v>2019</v>
      </c>
      <c r="E267" s="6" t="str">
        <f>CLEAN("IH -090")</f>
        <v>IH -090</v>
      </c>
      <c r="F267" s="4">
        <v>43480</v>
      </c>
      <c r="G267" s="3" t="str">
        <f>CLEAN("TOMAH - MAUSTON")</f>
        <v>TOMAH - MAUSTON</v>
      </c>
      <c r="H267" s="3" t="str">
        <f>CLEAN("LEMONWEIR RVR BRGS B-29-46  B-29-47")</f>
        <v>LEMONWEIR RVR BRGS B-29-46  B-29-47</v>
      </c>
      <c r="I267" s="3" t="str">
        <f>CLEAN("CONST/BRSHRM/MISC STRUCTURE REPAIR")</f>
        <v>CONST/BRSHRM/MISC STRUCTURE REPAIR</v>
      </c>
      <c r="J267" s="3">
        <v>0</v>
      </c>
    </row>
    <row r="268" spans="1:10" x14ac:dyDescent="0.25">
      <c r="A268" s="3" t="str">
        <f>CLEAN("JUNEAU")</f>
        <v>JUNEAU</v>
      </c>
      <c r="B268" s="6" t="str">
        <f>CLEAN("5530-02-01")</f>
        <v>5530-02-01</v>
      </c>
      <c r="C268" s="6" t="str">
        <f>CLEAN("5530-02-71")</f>
        <v>5530-02-71</v>
      </c>
      <c r="D268" s="6">
        <v>2020</v>
      </c>
      <c r="E268" s="6" t="str">
        <f>CLEAN("STH-080")</f>
        <v>STH-080</v>
      </c>
      <c r="F268" s="4">
        <v>43781</v>
      </c>
      <c r="G268" s="3" t="str">
        <f>CLEAN("HILLSBORO - NEW LISBON")</f>
        <v>HILLSBORO - NEW LISBON</v>
      </c>
      <c r="H268" s="3" t="str">
        <f>CLEAN("LIBERTY STREET TO STH 82")</f>
        <v>LIBERTY STREET TO STH 82</v>
      </c>
      <c r="I268" s="3" t="str">
        <f>CLEAN("CONST OPS/GRADE  BASE AND SURFACE")</f>
        <v>CONST OPS/GRADE  BASE AND SURFACE</v>
      </c>
      <c r="J268" s="3">
        <v>1.41</v>
      </c>
    </row>
    <row r="269" spans="1:10" x14ac:dyDescent="0.25">
      <c r="A269" s="3" t="str">
        <f>CLEAN("JUNEAU")</f>
        <v>JUNEAU</v>
      </c>
      <c r="B269" s="6" t="str">
        <f>CLEAN("6639-00-02")</f>
        <v>6639-00-02</v>
      </c>
      <c r="C269" s="6" t="str">
        <f>CLEAN("6639-00-72")</f>
        <v>6639-00-72</v>
      </c>
      <c r="D269" s="6">
        <v>2020</v>
      </c>
      <c r="E269" s="6" t="str">
        <f>CLEAN("STH-058")</f>
        <v>STH-058</v>
      </c>
      <c r="F269" s="4">
        <v>43809</v>
      </c>
      <c r="G269" s="3" t="str">
        <f>CLEAN("MAUSTON - NECEDAH")</f>
        <v>MAUSTON - NECEDAH</v>
      </c>
      <c r="H269" s="3" t="str">
        <f>CLEAN("CTH G INTERSECTION (6 MI N OF IH90)")</f>
        <v>CTH G INTERSECTION (6 MI N OF IH90)</v>
      </c>
      <c r="I269" s="3" t="str">
        <f>CLEAN("CONST/INTERSECTION IMPROVEMENTS")</f>
        <v>CONST/INTERSECTION IMPROVEMENTS</v>
      </c>
      <c r="J269" s="3">
        <v>0.14799999999999999</v>
      </c>
    </row>
    <row r="270" spans="1:10" x14ac:dyDescent="0.25">
      <c r="A270" s="3" t="str">
        <f>CLEAN("JUNEAU")</f>
        <v>JUNEAU</v>
      </c>
      <c r="B270" s="6" t="str">
        <f>CLEAN("7020-02-62")</f>
        <v>7020-02-62</v>
      </c>
      <c r="C270" s="6" t="str">
        <f>CLEAN("7020-02-62")</f>
        <v>7020-02-62</v>
      </c>
      <c r="D270" s="6">
        <v>2020</v>
      </c>
      <c r="E270" s="6" t="str">
        <f>CLEAN("STH-173")</f>
        <v>STH-173</v>
      </c>
      <c r="F270" s="4">
        <v>43855</v>
      </c>
      <c r="G270" s="3" t="str">
        <f>CLEAN("WYEVILLE - BABCOCK")</f>
        <v>WYEVILLE - BABCOCK</v>
      </c>
      <c r="H270" s="3" t="str">
        <f>CLEAN("WEST COUNTY LINE TO COUNTY LINE RD")</f>
        <v>WEST COUNTY LINE TO COUNTY LINE RD</v>
      </c>
      <c r="I270" s="3" t="str">
        <f>CLEAN("LFA/REPLACE PIPES")</f>
        <v>LFA/REPLACE PIPES</v>
      </c>
      <c r="J270" s="3">
        <v>9.98</v>
      </c>
    </row>
    <row r="271" spans="1:10" x14ac:dyDescent="0.25">
      <c r="A271" s="3" t="str">
        <f>CLEAN("JUNEAU")</f>
        <v>JUNEAU</v>
      </c>
      <c r="B271" s="6" t="str">
        <f>CLEAN("7020-02-30")</f>
        <v>7020-02-30</v>
      </c>
      <c r="C271" s="6" t="str">
        <f>CLEAN("7020-02-60")</f>
        <v>7020-02-60</v>
      </c>
      <c r="D271" s="6">
        <v>2020</v>
      </c>
      <c r="E271" s="6" t="str">
        <f>CLEAN("STH-173")</f>
        <v>STH-173</v>
      </c>
      <c r="F271" s="4">
        <v>43872</v>
      </c>
      <c r="G271" s="3" t="str">
        <f>CLEAN("WYEVILLE - BABCOCK")</f>
        <v>WYEVILLE - BABCOCK</v>
      </c>
      <c r="H271" s="3" t="str">
        <f>CLEAN("STH 21 TO COUNTY LINE ROAD")</f>
        <v>STH 21 TO COUNTY LINE ROAD</v>
      </c>
      <c r="I271" s="3" t="str">
        <f>CLEAN("CONST/MILL &amp; O'LAY/B-29-XXX XXX XXX")</f>
        <v>CONST/MILL &amp; O'LAY/B-29-XXX XXX XXX</v>
      </c>
      <c r="J271" s="3">
        <v>19.361000000000001</v>
      </c>
    </row>
    <row r="272" spans="1:10" x14ac:dyDescent="0.25">
      <c r="A272" s="3" t="str">
        <f>CLEAN("JUNEAU")</f>
        <v>JUNEAU</v>
      </c>
      <c r="B272" s="6" t="str">
        <f>CLEAN("1016-05-00")</f>
        <v>1016-05-00</v>
      </c>
      <c r="C272" s="6" t="str">
        <f>CLEAN("1016-05-80")</f>
        <v>1016-05-80</v>
      </c>
      <c r="D272" s="6">
        <v>2021</v>
      </c>
      <c r="E272" s="6" t="str">
        <f>CLEAN("IH -090")</f>
        <v>IH -090</v>
      </c>
      <c r="F272" s="4">
        <v>44054</v>
      </c>
      <c r="G272" s="3" t="str">
        <f>CLEAN("TOMAH - MAUSTON")</f>
        <v>TOMAH - MAUSTON</v>
      </c>
      <c r="H272" s="3" t="str">
        <f>CLEAN("STH 82 INTERCH PREP/X-OVERS/TEMP RD")</f>
        <v>STH 82 INTERCH PREP/X-OVERS/TEMP RD</v>
      </c>
      <c r="I272" s="3" t="str">
        <f>CLEAN("CONST/PREP FOR 1016-05-70")</f>
        <v>CONST/PREP FOR 1016-05-70</v>
      </c>
      <c r="J272" s="3">
        <v>1.7210000000000001</v>
      </c>
    </row>
    <row r="273" spans="1:10" x14ac:dyDescent="0.25">
      <c r="A273" s="3" t="str">
        <f>CLEAN("JUNEAU")</f>
        <v>JUNEAU</v>
      </c>
      <c r="B273" s="6" t="str">
        <f>CLEAN("5880-03-06")</f>
        <v>5880-03-06</v>
      </c>
      <c r="C273" s="6" t="str">
        <f>CLEAN("5880-03-76")</f>
        <v>5880-03-76</v>
      </c>
      <c r="D273" s="6">
        <v>2021</v>
      </c>
      <c r="E273" s="6" t="str">
        <f>CLEAN("USH-012")</f>
        <v>USH-012</v>
      </c>
      <c r="F273" s="4">
        <v>44054</v>
      </c>
      <c r="G273" s="3" t="str">
        <f>CLEAN("MAUSTON - WISCONSIN DELLS")</f>
        <v>MAUSTON - WISCONSIN DELLS</v>
      </c>
      <c r="H273" s="3" t="str">
        <f>CLEAN("ARROWHEAD ROAD TO CTH J")</f>
        <v>ARROWHEAD ROAD TO CTH J</v>
      </c>
      <c r="I273" s="3" t="str">
        <f>CLEAN("CONST/CURB AND GUTTER; LIGHTING")</f>
        <v>CONST/CURB AND GUTTER; LIGHTING</v>
      </c>
      <c r="J273" s="3">
        <v>0.623</v>
      </c>
    </row>
    <row r="274" spans="1:10" x14ac:dyDescent="0.25">
      <c r="A274" s="3" t="str">
        <f>CLEAN("JUNEAU")</f>
        <v>JUNEAU</v>
      </c>
      <c r="B274" s="6" t="str">
        <f>CLEAN("6639-05-30")</f>
        <v>6639-05-30</v>
      </c>
      <c r="C274" s="6" t="str">
        <f>CLEAN("6639-05-60")</f>
        <v>6639-05-60</v>
      </c>
      <c r="D274" s="6">
        <v>2021</v>
      </c>
      <c r="E274" s="6" t="str">
        <f>CLEAN("STH-058")</f>
        <v>STH-058</v>
      </c>
      <c r="F274" s="4">
        <v>44145</v>
      </c>
      <c r="G274" s="3" t="str">
        <f>CLEAN("MAUSTON - NECEDAH")</f>
        <v>MAUSTON - NECEDAH</v>
      </c>
      <c r="H274" s="3" t="str">
        <f>CLEAN("COLFAX STREET TO STH 80")</f>
        <v>COLFAX STREET TO STH 80</v>
      </c>
      <c r="I274" s="3" t="str">
        <f>CLEAN("CONST/ MILL AND OVERLAY")</f>
        <v>CONST/ MILL AND OVERLAY</v>
      </c>
      <c r="J274" s="3">
        <v>11.25</v>
      </c>
    </row>
    <row r="275" spans="1:10" x14ac:dyDescent="0.25">
      <c r="A275" s="3" t="str">
        <f>CLEAN("JUNEAU")</f>
        <v>JUNEAU</v>
      </c>
      <c r="B275" s="6" t="str">
        <f>CLEAN("1016-01-34")</f>
        <v>1016-01-34</v>
      </c>
      <c r="C275" s="6" t="str">
        <f>CLEAN("1016-01-64")</f>
        <v>1016-01-64</v>
      </c>
      <c r="D275" s="6">
        <v>2022</v>
      </c>
      <c r="E275" s="6" t="str">
        <f>CLEAN("IH -090")</f>
        <v>IH -090</v>
      </c>
      <c r="F275" s="4">
        <v>44544</v>
      </c>
      <c r="G275" s="3" t="str">
        <f>CLEAN("JUNEAU COUNTY STRUCTURE REPAIR")</f>
        <v>JUNEAU COUNTY STRUCTURE REPAIR</v>
      </c>
      <c r="H275" s="3" t="str">
        <f>CLEAN("B-29-18 19 44 45")</f>
        <v>B-29-18 19 44 45</v>
      </c>
      <c r="I275" s="3" t="str">
        <f>CLEAN("CONST/MISC BRIDGE REPAIR")</f>
        <v>CONST/MISC BRIDGE REPAIR</v>
      </c>
      <c r="J275" s="3">
        <v>1.6E-2</v>
      </c>
    </row>
    <row r="276" spans="1:10" x14ac:dyDescent="0.25">
      <c r="A276" s="3" t="str">
        <f>CLEAN("JUNEAU")</f>
        <v>JUNEAU</v>
      </c>
      <c r="B276" s="6" t="str">
        <f>CLEAN("5010-06-02")</f>
        <v>5010-06-02</v>
      </c>
      <c r="C276" s="6" t="str">
        <f>CLEAN("5010-06-72")</f>
        <v>5010-06-72</v>
      </c>
      <c r="D276" s="6">
        <v>2022</v>
      </c>
      <c r="E276" s="6" t="str">
        <f>CLEAN("STH-082")</f>
        <v>STH-082</v>
      </c>
      <c r="F276" s="4">
        <v>44544</v>
      </c>
      <c r="G276" s="3" t="str">
        <f>CLEAN("HILLSBORO - MAUSTON")</f>
        <v>HILLSBORO - MAUSTON</v>
      </c>
      <c r="H276" s="3" t="str">
        <f>CLEAN("STH 80 TO CTH G")</f>
        <v>STH 80 TO CTH G</v>
      </c>
      <c r="I276" s="3" t="str">
        <f>CLEAN("CONST/ MILL &amp; OVERLAY  WING REPLACE")</f>
        <v>CONST/ MILL &amp; OVERLAY  WING REPLACE</v>
      </c>
      <c r="J276" s="3">
        <v>9.67</v>
      </c>
    </row>
    <row r="277" spans="1:10" x14ac:dyDescent="0.25">
      <c r="A277" s="3" t="str">
        <f>CLEAN("JUNEAU")</f>
        <v>JUNEAU</v>
      </c>
      <c r="B277" s="6" t="str">
        <f>CLEAN("1016-05-34")</f>
        <v>1016-05-34</v>
      </c>
      <c r="C277" s="6" t="str">
        <f>CLEAN("1016-05-64")</f>
        <v>1016-05-64</v>
      </c>
      <c r="D277" s="6">
        <v>2022</v>
      </c>
      <c r="E277" s="6" t="str">
        <f>CLEAN("IH -090")</f>
        <v>IH -090</v>
      </c>
      <c r="F277" s="4">
        <v>44600</v>
      </c>
      <c r="G277" s="3" t="str">
        <f>CLEAN("MAUSTON - WISCONSIN DELLS")</f>
        <v>MAUSTON - WISCONSIN DELLS</v>
      </c>
      <c r="H277" s="3" t="str">
        <f>CLEAN("24TH AVENUE STRUCTURE B-29-24")</f>
        <v>24TH AVENUE STRUCTURE B-29-24</v>
      </c>
      <c r="I277" s="3" t="str">
        <f>CLEAN("CONST/REPLACE EXPANSION JOINTS")</f>
        <v>CONST/REPLACE EXPANSION JOINTS</v>
      </c>
      <c r="J277" s="3">
        <v>5.2999999999999999E-2</v>
      </c>
    </row>
    <row r="278" spans="1:10" x14ac:dyDescent="0.25">
      <c r="A278" s="3" t="str">
        <f>CLEAN("JUNEAU")</f>
        <v>JUNEAU</v>
      </c>
      <c r="B278" s="6" t="str">
        <f>CLEAN("1016-05-36")</f>
        <v>1016-05-36</v>
      </c>
      <c r="C278" s="6" t="str">
        <f>CLEAN("1016-05-66")</f>
        <v>1016-05-66</v>
      </c>
      <c r="D278" s="6">
        <v>2022</v>
      </c>
      <c r="E278" s="6" t="str">
        <f>CLEAN("IH -090")</f>
        <v>IH -090</v>
      </c>
      <c r="F278" s="4">
        <v>44600</v>
      </c>
      <c r="G278" s="3" t="str">
        <f>CLEAN("MAUSTON - WISCONSIN DELLS")</f>
        <v>MAUSTON - WISCONSIN DELLS</v>
      </c>
      <c r="H278" s="3" t="str">
        <f>CLEAN("KOVAL RD BRIDGES B-29-21 &amp; B-29-22")</f>
        <v>KOVAL RD BRIDGES B-29-21 &amp; B-29-22</v>
      </c>
      <c r="I278" s="3" t="str">
        <f>CLEAN("CONST/REPLACE OR ELIMINATE JOINTS")</f>
        <v>CONST/REPLACE OR ELIMINATE JOINTS</v>
      </c>
      <c r="J278" s="3">
        <v>2E-3</v>
      </c>
    </row>
    <row r="279" spans="1:10" x14ac:dyDescent="0.25">
      <c r="A279" s="3" t="str">
        <f>CLEAN("JUNEAU")</f>
        <v>JUNEAU</v>
      </c>
      <c r="B279" s="6" t="str">
        <f>CLEAN("1016-05-00")</f>
        <v>1016-05-00</v>
      </c>
      <c r="C279" s="6" t="str">
        <f>CLEAN("1016-05-70")</f>
        <v>1016-05-70</v>
      </c>
      <c r="D279" s="6">
        <v>2022</v>
      </c>
      <c r="E279" s="6" t="str">
        <f>CLEAN("IH -090")</f>
        <v>IH -090</v>
      </c>
      <c r="F279" s="4">
        <v>44628</v>
      </c>
      <c r="G279" s="3" t="str">
        <f>CLEAN("TOMAH - MAUSTON")</f>
        <v>TOMAH - MAUSTON</v>
      </c>
      <c r="H279" s="3" t="str">
        <f>CLEAN("STH 82 INTERCHNG/B29-36 152-155 157")</f>
        <v>STH 82 INTERCHNG/B29-36 152-155 157</v>
      </c>
      <c r="I279" s="3" t="str">
        <f>CLEAN("CNST/RECST INTRCH;82/G/LEMONWEIR BR")</f>
        <v>CNST/RECST INTRCH;82/G/LEMONWEIR BR</v>
      </c>
      <c r="J279" s="3">
        <v>2.2389999999999999</v>
      </c>
    </row>
    <row r="280" spans="1:10" x14ac:dyDescent="0.25">
      <c r="A280" s="3" t="str">
        <f>CLEAN("JUNEAU")</f>
        <v>JUNEAU</v>
      </c>
      <c r="B280" s="6" t="str">
        <f>CLEAN("1016-05-00")</f>
        <v>1016-05-00</v>
      </c>
      <c r="C280" s="6" t="str">
        <f>CLEAN("1016-05-81")</f>
        <v>1016-05-81</v>
      </c>
      <c r="D280" s="6">
        <v>2022</v>
      </c>
      <c r="E280" s="6" t="str">
        <f>CLEAN("IH -090")</f>
        <v>IH -090</v>
      </c>
      <c r="F280" s="4">
        <v>44737</v>
      </c>
      <c r="G280" s="3" t="str">
        <f>CLEAN("TOMAH - MAUSTON")</f>
        <v>TOMAH - MAUSTON</v>
      </c>
      <c r="H280" s="3" t="str">
        <f>CLEAN("STH 82 INTERCHANGE")</f>
        <v>STH 82 INTERCHANGE</v>
      </c>
      <c r="I280" s="3" t="str">
        <f>CLEAN("INCIDENTAL ITS ITEMS FOR 1016-05-70")</f>
        <v>INCIDENTAL ITS ITEMS FOR 1016-05-70</v>
      </c>
      <c r="J280" s="3">
        <v>2.2559999999999998</v>
      </c>
    </row>
    <row r="281" spans="1:10" x14ac:dyDescent="0.25">
      <c r="A281" s="3" t="str">
        <f>CLEAN("JUNEAU")</f>
        <v>JUNEAU</v>
      </c>
      <c r="B281" s="6" t="str">
        <f>CLEAN("1016-01-31")</f>
        <v>1016-01-31</v>
      </c>
      <c r="C281" s="6" t="str">
        <f>CLEAN("1016-01-61")</f>
        <v>1016-01-61</v>
      </c>
      <c r="D281" s="6">
        <v>2023</v>
      </c>
      <c r="E281" s="6" t="str">
        <f>CLEAN("IH -090")</f>
        <v>IH -090</v>
      </c>
      <c r="F281" s="4">
        <v>44873</v>
      </c>
      <c r="G281" s="3" t="str">
        <f>CLEAN("TOMAH - PORTAGE")</f>
        <v>TOMAH - PORTAGE</v>
      </c>
      <c r="H281" s="3" t="str">
        <f>CLEAN("CAMP DOUGLAS TO SEVEN MILE CREEK")</f>
        <v>CAMP DOUGLAS TO SEVEN MILE CREEK</v>
      </c>
      <c r="I281" s="3" t="str">
        <f>CLEAN("CONST/PAVT REPAIR/PAVED SHLDR/PIPE")</f>
        <v>CONST/PAVT REPAIR/PAVED SHLDR/PIPE</v>
      </c>
      <c r="J281" s="3">
        <v>17.140999999999998</v>
      </c>
    </row>
    <row r="282" spans="1:10" x14ac:dyDescent="0.25">
      <c r="A282" s="3" t="str">
        <f>CLEAN("JUNEAU")</f>
        <v>JUNEAU</v>
      </c>
      <c r="B282" s="6" t="str">
        <f>CLEAN("1016-01-31")</f>
        <v>1016-01-31</v>
      </c>
      <c r="C282" s="6" t="str">
        <f>CLEAN("1016-01-62")</f>
        <v>1016-01-62</v>
      </c>
      <c r="D282" s="6">
        <v>2023</v>
      </c>
      <c r="E282" s="6" t="str">
        <f>CLEAN("IH -090")</f>
        <v>IH -090</v>
      </c>
      <c r="F282" s="4">
        <v>44873</v>
      </c>
      <c r="G282" s="3" t="str">
        <f>CLEAN("TOMAH - PORTAGE")</f>
        <v>TOMAH - PORTAGE</v>
      </c>
      <c r="H282" s="3" t="str">
        <f>CLEAN("24TH AVENUE TO MIRROR LAKE BRIDGE")</f>
        <v>24TH AVENUE TO MIRROR LAKE BRIDGE</v>
      </c>
      <c r="I282" s="3" t="str">
        <f>CLEAN("CONST/PAVT REPAIR/PAVED SHLDR/PIPE")</f>
        <v>CONST/PAVT REPAIR/PAVED SHLDR/PIPE</v>
      </c>
      <c r="J282" s="3">
        <v>14.022</v>
      </c>
    </row>
    <row r="283" spans="1:10" x14ac:dyDescent="0.25">
      <c r="A283" s="3" t="str">
        <f>CLEAN("JUNEAU")</f>
        <v>JUNEAU</v>
      </c>
      <c r="B283" s="6" t="str">
        <f>CLEAN("1620-02-08")</f>
        <v>1620-02-08</v>
      </c>
      <c r="C283" s="6" t="str">
        <f>CLEAN("1620-02-78")</f>
        <v>1620-02-78</v>
      </c>
      <c r="D283" s="6">
        <v>2023</v>
      </c>
      <c r="E283" s="6" t="str">
        <f>CLEAN("STH-080")</f>
        <v>STH-080</v>
      </c>
      <c r="F283" s="4">
        <v>44873</v>
      </c>
      <c r="G283" s="3" t="str">
        <f>CLEAN("NECEDAH - BABCOCK")</f>
        <v>NECEDAH - BABCOCK</v>
      </c>
      <c r="H283" s="3" t="str">
        <f>CLEAN("STH 21 TO COUNTY LINE ROAD")</f>
        <v>STH 21 TO COUNTY LINE ROAD</v>
      </c>
      <c r="I283" s="3" t="str">
        <f>CLEAN("CONST/ RESURFACE &amp; REPLACE B-29-73")</f>
        <v>CONST/ RESURFACE &amp; REPLACE B-29-73</v>
      </c>
      <c r="J283" s="3">
        <v>15.993</v>
      </c>
    </row>
    <row r="284" spans="1:10" x14ac:dyDescent="0.25">
      <c r="A284" s="3" t="str">
        <f>CLEAN("JUNEAU")</f>
        <v>JUNEAU</v>
      </c>
      <c r="B284" s="6" t="str">
        <f>CLEAN("1620-05-00")</f>
        <v>1620-05-00</v>
      </c>
      <c r="C284" s="6" t="str">
        <f>CLEAN("1620-05-70")</f>
        <v>1620-05-70</v>
      </c>
      <c r="D284" s="6">
        <v>2023</v>
      </c>
      <c r="E284" s="6" t="str">
        <f>CLEAN("STH-080")</f>
        <v>STH-080</v>
      </c>
      <c r="F284" s="4">
        <v>44971</v>
      </c>
      <c r="G284" s="3" t="str">
        <f>CLEAN("NEW LISBON - NECEDAH")</f>
        <v>NEW LISBON - NECEDAH</v>
      </c>
      <c r="H284" s="3" t="str">
        <f>CLEAN("25TH ST W TO 400' N OF KINGSBURY DR")</f>
        <v>25TH ST W TO 400' N OF KINGSBURY DR</v>
      </c>
      <c r="I284" s="3" t="str">
        <f>CLEAN("CONST/ADD TURN LANES")</f>
        <v>CONST/ADD TURN LANES</v>
      </c>
      <c r="J284" s="3">
        <v>0.56999999999999995</v>
      </c>
    </row>
    <row r="285" spans="1:10" x14ac:dyDescent="0.25">
      <c r="A285" s="3" t="str">
        <f>CLEAN("JUNEAU")</f>
        <v>JUNEAU</v>
      </c>
      <c r="B285" s="6" t="str">
        <f>CLEAN("1016-04-33")</f>
        <v>1016-04-33</v>
      </c>
      <c r="C285" s="6" t="str">
        <f>CLEAN("1016-04-63")</f>
        <v>1016-04-63</v>
      </c>
      <c r="D285" s="6">
        <v>2025</v>
      </c>
      <c r="E285" s="6" t="str">
        <f>CLEAN("IH -090")</f>
        <v>IH -090</v>
      </c>
      <c r="F285" s="4">
        <v>45636</v>
      </c>
      <c r="G285" s="3" t="str">
        <f>CLEAN("TOMAH - MAUSTON")</f>
        <v>TOMAH - MAUSTON</v>
      </c>
      <c r="H285" s="3" t="str">
        <f>CLEAN("CTH M BRIDGES B-29-48 &amp; B-29-49")</f>
        <v>CTH M BRIDGES B-29-48 &amp; B-29-49</v>
      </c>
      <c r="I285" s="3" t="str">
        <f>CLEAN("CONST/CONCRETE OVERLAY")</f>
        <v>CONST/CONCRETE OVERLAY</v>
      </c>
      <c r="J285" s="3">
        <v>1.2E-2</v>
      </c>
    </row>
    <row r="286" spans="1:10" x14ac:dyDescent="0.25">
      <c r="A286" s="3" t="str">
        <f>CLEAN("JUNEAU")</f>
        <v>JUNEAU</v>
      </c>
      <c r="B286" s="6" t="str">
        <f>CLEAN("1016-05-35")</f>
        <v>1016-05-35</v>
      </c>
      <c r="C286" s="6" t="str">
        <f>CLEAN("1016-05-65")</f>
        <v>1016-05-65</v>
      </c>
      <c r="D286" s="6">
        <v>2025</v>
      </c>
      <c r="E286" s="6" t="str">
        <f>CLEAN("IH -090")</f>
        <v>IH -090</v>
      </c>
      <c r="F286" s="4">
        <v>45636</v>
      </c>
      <c r="G286" s="3" t="str">
        <f>CLEAN("TOMAH - MAUSTON")</f>
        <v>TOMAH - MAUSTON</v>
      </c>
      <c r="H286" s="3" t="str">
        <f>CLEAN("43RD ST W BRIDGES B-29-41 &amp; B-29-42")</f>
        <v>43RD ST W BRIDGES B-29-41 &amp; B-29-42</v>
      </c>
      <c r="I286" s="3" t="str">
        <f>CLEAN("CONST/CONCRETE OVERLAYS/NEW JOINTS")</f>
        <v>CONST/CONCRETE OVERLAYS/NEW JOINTS</v>
      </c>
      <c r="J286" s="3">
        <v>1.7000000000000001E-2</v>
      </c>
    </row>
    <row r="287" spans="1:10" x14ac:dyDescent="0.25">
      <c r="A287" s="3" t="str">
        <f>CLEAN("JUNEAU")</f>
        <v>JUNEAU</v>
      </c>
      <c r="B287" s="6" t="str">
        <f>CLEAN("6160-00-00")</f>
        <v>6160-00-00</v>
      </c>
      <c r="C287" s="6" t="str">
        <f>CLEAN("6160-00-70")</f>
        <v>6160-00-70</v>
      </c>
      <c r="D287" s="6">
        <v>2025</v>
      </c>
      <c r="E287" s="6" t="str">
        <f>CLEAN("STH-021")</f>
        <v>STH-021</v>
      </c>
      <c r="F287" s="4">
        <v>45636</v>
      </c>
      <c r="G287" s="3" t="str">
        <f>CLEAN("NECEDAH - COLOMA")</f>
        <v>NECEDAH - COLOMA</v>
      </c>
      <c r="H287" s="3" t="str">
        <f>CLEAN("SHERIDAN STREET TO EAST COUNTY LINE")</f>
        <v>SHERIDAN STREET TO EAST COUNTY LINE</v>
      </c>
      <c r="I287" s="3" t="str">
        <f>CLEAN("CONST/ PAVE REPLACE")</f>
        <v>CONST/ PAVE REPLACE</v>
      </c>
      <c r="J287" s="3">
        <v>3.32</v>
      </c>
    </row>
    <row r="288" spans="1:10" x14ac:dyDescent="0.25">
      <c r="A288" s="3"/>
      <c r="B288" s="6"/>
      <c r="C288" s="6"/>
      <c r="D288" s="6"/>
      <c r="E288" s="6"/>
      <c r="F288" s="4"/>
      <c r="G288" s="3"/>
      <c r="H288" s="3"/>
      <c r="I288" s="3"/>
      <c r="J288" s="3"/>
    </row>
    <row r="289" spans="1:10" x14ac:dyDescent="0.25">
      <c r="A289" s="3" t="str">
        <f>CLEAN("LA CROSSE")</f>
        <v>LA CROSSE</v>
      </c>
      <c r="B289" s="6" t="str">
        <f>CLEAN("7925-02-31")</f>
        <v>7925-02-31</v>
      </c>
      <c r="C289" s="6" t="str">
        <f>CLEAN("7925-02-81")</f>
        <v>7925-02-81</v>
      </c>
      <c r="D289" s="6">
        <v>2019</v>
      </c>
      <c r="E289" s="6" t="str">
        <f>CLEAN("STH-162")</f>
        <v>STH-162</v>
      </c>
      <c r="F289" s="4">
        <v>43549</v>
      </c>
      <c r="G289" s="3" t="str">
        <f>CLEAN("BANGOR - FOUR CORNERS")</f>
        <v>BANGOR - FOUR CORNERS</v>
      </c>
      <c r="H289" s="3" t="str">
        <f>CLEAN("STH 16 TO STH 71")</f>
        <v>STH 16 TO STH 71</v>
      </c>
      <c r="I289" s="3" t="str">
        <f>CLEAN("LFA/ REPLACE PIPE CULVERTS")</f>
        <v>LFA/ REPLACE PIPE CULVERTS</v>
      </c>
      <c r="J289" s="3">
        <v>12.54</v>
      </c>
    </row>
    <row r="290" spans="1:10" x14ac:dyDescent="0.25">
      <c r="A290" s="3" t="str">
        <f>CLEAN("LA CROSSE")</f>
        <v>LA CROSSE</v>
      </c>
      <c r="B290" s="6" t="str">
        <f>CLEAN("7925-02-31")</f>
        <v>7925-02-31</v>
      </c>
      <c r="C290" s="6" t="str">
        <f>CLEAN("7925-02-61")</f>
        <v>7925-02-61</v>
      </c>
      <c r="D290" s="6">
        <v>2020</v>
      </c>
      <c r="E290" s="6" t="str">
        <f>CLEAN("STH-162")</f>
        <v>STH-162</v>
      </c>
      <c r="F290" s="4">
        <v>43781</v>
      </c>
      <c r="G290" s="3" t="str">
        <f>CLEAN("BANGOR - FOUR CORNERS")</f>
        <v>BANGOR - FOUR CORNERS</v>
      </c>
      <c r="H290" s="3" t="str">
        <f>CLEAN("STH 16 TO STH 71")</f>
        <v>STH 16 TO STH 71</v>
      </c>
      <c r="I290" s="3" t="str">
        <f>CLEAN("CONST/MILL AND OVERLAY")</f>
        <v>CONST/MILL AND OVERLAY</v>
      </c>
      <c r="J290" s="3">
        <v>12.516</v>
      </c>
    </row>
    <row r="291" spans="1:10" x14ac:dyDescent="0.25">
      <c r="A291" s="3" t="str">
        <f>CLEAN("LA CROSSE")</f>
        <v>LA CROSSE</v>
      </c>
      <c r="B291" s="6" t="str">
        <f>CLEAN("1070-04-05")</f>
        <v>1070-04-05</v>
      </c>
      <c r="C291" s="6" t="str">
        <f>CLEAN("1070-04-75")</f>
        <v>1070-04-75</v>
      </c>
      <c r="D291" s="6">
        <v>2020</v>
      </c>
      <c r="E291" s="6" t="str">
        <f>CLEAN("IH -090")</f>
        <v>IH -090</v>
      </c>
      <c r="F291" s="4">
        <v>43872</v>
      </c>
      <c r="G291" s="3" t="str">
        <f>CLEAN("LA CROSSE - SPARTA")</f>
        <v>LA CROSSE - SPARTA</v>
      </c>
      <c r="H291" s="3" t="str">
        <f>CLEAN("STH 157 INTERCHANGE")</f>
        <v>STH 157 INTERCHANGE</v>
      </c>
      <c r="I291" s="3" t="str">
        <f>CLEAN("CONST/REPAIR/MILL/O'LAY RAMP AREA")</f>
        <v>CONST/REPAIR/MILL/O'LAY RAMP AREA</v>
      </c>
      <c r="J291" s="3">
        <v>1.2889999999999999</v>
      </c>
    </row>
    <row r="292" spans="1:10" x14ac:dyDescent="0.25">
      <c r="A292" s="3" t="str">
        <f>CLEAN("LA CROSSE")</f>
        <v>LA CROSSE</v>
      </c>
      <c r="B292" s="6" t="str">
        <f>CLEAN("7930-08-00")</f>
        <v>7930-08-00</v>
      </c>
      <c r="C292" s="6" t="str">
        <f>CLEAN("7930-08-70")</f>
        <v>7930-08-70</v>
      </c>
      <c r="D292" s="6">
        <v>2020</v>
      </c>
      <c r="E292" s="6" t="str">
        <f>CLEAN("STH-108")</f>
        <v>STH-108</v>
      </c>
      <c r="F292" s="4">
        <v>43935</v>
      </c>
      <c r="G292" s="3" t="str">
        <f>CLEAN("WEST SALEM - MELROSE")</f>
        <v>WEST SALEM - MELROSE</v>
      </c>
      <c r="H292" s="3" t="str">
        <f>CLEAN("STAN OLSON ROAD TO L PFAFF ROAD")</f>
        <v>STAN OLSON ROAD TO L PFAFF ROAD</v>
      </c>
      <c r="I292" s="3" t="str">
        <f>CLEAN("CONST/FRICTION SURF/PAVE SHLDRS/BG")</f>
        <v>CONST/FRICTION SURF/PAVE SHLDRS/BG</v>
      </c>
      <c r="J292" s="3">
        <v>5.6710000000000003</v>
      </c>
    </row>
    <row r="293" spans="1:10" x14ac:dyDescent="0.25">
      <c r="A293" s="3" t="str">
        <f>CLEAN("LA CROSSE")</f>
        <v>LA CROSSE</v>
      </c>
      <c r="B293" s="6" t="str">
        <f>CLEAN("1640-03-31")</f>
        <v>1640-03-31</v>
      </c>
      <c r="C293" s="6" t="str">
        <f>CLEAN("1640-03-61")</f>
        <v>1640-03-61</v>
      </c>
      <c r="D293" s="6">
        <v>2021</v>
      </c>
      <c r="E293" s="6" t="str">
        <f>CLEAN("USH-014")</f>
        <v>USH-014</v>
      </c>
      <c r="F293" s="4">
        <v>44145</v>
      </c>
      <c r="G293" s="3" t="str">
        <f>CLEAN("LA CROSSE - WESTBY")</f>
        <v>LA CROSSE - WESTBY</v>
      </c>
      <c r="H293" s="3" t="str">
        <f>CLEAN("BRICKYARD LANE TO CTH M")</f>
        <v>BRICKYARD LANE TO CTH M</v>
      </c>
      <c r="I293" s="3" t="str">
        <f>CLEAN("CONST/ MILL AND OVERLAY")</f>
        <v>CONST/ MILL AND OVERLAY</v>
      </c>
      <c r="J293" s="3">
        <v>3.8079999999999998</v>
      </c>
    </row>
    <row r="294" spans="1:10" x14ac:dyDescent="0.25">
      <c r="A294" s="3" t="str">
        <f>CLEAN("LA CROSSE")</f>
        <v>LA CROSSE</v>
      </c>
      <c r="B294" s="6" t="str">
        <f>CLEAN("5120-03-02")</f>
        <v>5120-03-02</v>
      </c>
      <c r="C294" s="6" t="str">
        <f>CLEAN("5120-03-72")</f>
        <v>5120-03-72</v>
      </c>
      <c r="D294" s="6">
        <v>2021</v>
      </c>
      <c r="E294" s="6" t="str">
        <f>CLEAN("STH-033")</f>
        <v>STH-033</v>
      </c>
      <c r="F294" s="4">
        <v>44145</v>
      </c>
      <c r="G294" s="3" t="str">
        <f>CLEAN("JACKSON STREET  C LA CROSSE")</f>
        <v>JACKSON STREET  C LA CROSSE</v>
      </c>
      <c r="H294" s="3" t="str">
        <f>CLEAN("3RD STREET TO 23RD STREET")</f>
        <v>3RD STREET TO 23RD STREET</v>
      </c>
      <c r="I294" s="3" t="str">
        <f>CLEAN("CONST OPS/RESURFACE PAVEMENT")</f>
        <v>CONST OPS/RESURFACE PAVEMENT</v>
      </c>
      <c r="J294" s="3">
        <v>1.673</v>
      </c>
    </row>
    <row r="295" spans="1:10" x14ac:dyDescent="0.25">
      <c r="A295" s="3" t="str">
        <f>CLEAN("LA CROSSE")</f>
        <v>LA CROSSE</v>
      </c>
      <c r="B295" s="6" t="str">
        <f>CLEAN("7575-00-01")</f>
        <v>7575-00-01</v>
      </c>
      <c r="C295" s="6" t="str">
        <f>CLEAN("7575-00-71")</f>
        <v>7575-00-71</v>
      </c>
      <c r="D295" s="6">
        <v>2021</v>
      </c>
      <c r="E295" s="6" t="str">
        <f>CLEAN("STH-016")</f>
        <v>STH-016</v>
      </c>
      <c r="F295" s="4">
        <v>44145</v>
      </c>
      <c r="G295" s="3" t="str">
        <f>CLEAN("LA CROSSE - SPARTA")</f>
        <v>LA CROSSE - SPARTA</v>
      </c>
      <c r="H295" s="3" t="str">
        <f>CLEAN("BRAUND ST TO CTH OS")</f>
        <v>BRAUND ST TO CTH OS</v>
      </c>
      <c r="I295" s="3" t="str">
        <f>CLEAN("CONST/MONOTUBES/LEFT LANE IMPRVMNT")</f>
        <v>CONST/MONOTUBES/LEFT LANE IMPRVMNT</v>
      </c>
      <c r="J295" s="3">
        <v>1.272</v>
      </c>
    </row>
    <row r="296" spans="1:10" x14ac:dyDescent="0.25">
      <c r="A296" s="3" t="str">
        <f>CLEAN("LA CROSSE")</f>
        <v>LA CROSSE</v>
      </c>
      <c r="B296" s="6" t="str">
        <f>CLEAN("1630-03-01")</f>
        <v>1630-03-01</v>
      </c>
      <c r="C296" s="6" t="str">
        <f>CLEAN("1630-03-61")</f>
        <v>1630-03-61</v>
      </c>
      <c r="D296" s="6">
        <v>2021</v>
      </c>
      <c r="E296" s="6" t="str">
        <f>CLEAN("USH-053")</f>
        <v>USH-053</v>
      </c>
      <c r="F296" s="4">
        <v>44264</v>
      </c>
      <c r="G296" s="3" t="str">
        <f>CLEAN("LA CROSSE - GALESVILLE")</f>
        <v>LA CROSSE - GALESVILLE</v>
      </c>
      <c r="H296" s="3" t="str">
        <f>CLEAN("BLACK R BRIDGE B-32-79")</f>
        <v>BLACK R BRIDGE B-32-79</v>
      </c>
      <c r="I296" s="3" t="str">
        <f>CLEAN("CONST/ BRIDGE REHABILITATION")</f>
        <v>CONST/ BRIDGE REHABILITATION</v>
      </c>
      <c r="J296" s="3">
        <v>0.37</v>
      </c>
    </row>
    <row r="297" spans="1:10" x14ac:dyDescent="0.25">
      <c r="A297" s="3" t="str">
        <f>CLEAN("LA CROSSE")</f>
        <v>LA CROSSE</v>
      </c>
      <c r="B297" s="6" t="str">
        <f>CLEAN("5220-04-04")</f>
        <v>5220-04-04</v>
      </c>
      <c r="C297" s="6" t="str">
        <f>CLEAN("5220-04-74")</f>
        <v>5220-04-74</v>
      </c>
      <c r="D297" s="6">
        <v>2021</v>
      </c>
      <c r="E297" s="6" t="str">
        <f>CLEAN("STH-035")</f>
        <v>STH-035</v>
      </c>
      <c r="F297" s="4">
        <v>44264</v>
      </c>
      <c r="G297" s="3" t="str">
        <f>CLEAN("C LA CROSSE  WEST AVENUE")</f>
        <v>C LA CROSSE  WEST AVENUE</v>
      </c>
      <c r="H297" s="3" t="str">
        <f>CLEAN("KING ST AND BADGER ST INTERSECTIONS")</f>
        <v>KING ST AND BADGER ST INTERSECTIONS</v>
      </c>
      <c r="I297" s="3" t="str">
        <f>CLEAN("CONST/CLOSE MEDIAN/ADD CROSSWALKS")</f>
        <v>CONST/CLOSE MEDIAN/ADD CROSSWALKS</v>
      </c>
      <c r="J297" s="3">
        <v>0.11899999999999999</v>
      </c>
    </row>
    <row r="298" spans="1:10" x14ac:dyDescent="0.25">
      <c r="A298" s="3" t="str">
        <f>CLEAN("LA CROSSE")</f>
        <v>LA CROSSE</v>
      </c>
      <c r="B298" s="6" t="str">
        <f>CLEAN("1641-03-04")</f>
        <v>1641-03-04</v>
      </c>
      <c r="C298" s="6" t="str">
        <f>CLEAN("1641-03-75")</f>
        <v>1641-03-75</v>
      </c>
      <c r="D298" s="6">
        <v>2021</v>
      </c>
      <c r="E298" s="6" t="str">
        <f>CLEAN("USH-014")</f>
        <v>USH-014</v>
      </c>
      <c r="F298" s="4">
        <v>44327</v>
      </c>
      <c r="G298" s="3" t="str">
        <f>CLEAN("C LA CROSSE  INTERSECTION IMPRVMNTS")</f>
        <v>C LA CROSSE  INTERSECTION IMPRVMNTS</v>
      </c>
      <c r="H298" s="3" t="str">
        <f>CLEAN("MORMON COULEE RD/BROADVIEW PL INTER")</f>
        <v>MORMON COULEE RD/BROADVIEW PL INTER</v>
      </c>
      <c r="I298" s="3" t="str">
        <f>CLEAN("CONST/LEFT TURN LANES &amp; MONOTUBES")</f>
        <v>CONST/LEFT TURN LANES &amp; MONOTUBES</v>
      </c>
      <c r="J298" s="3">
        <v>5.8999999999999997E-2</v>
      </c>
    </row>
    <row r="299" spans="1:10" x14ac:dyDescent="0.25">
      <c r="A299" s="3" t="str">
        <f>CLEAN("LA CROSSE")</f>
        <v>LA CROSSE</v>
      </c>
      <c r="B299" s="6" t="str">
        <f>CLEAN("1641-03-04")</f>
        <v>1641-03-04</v>
      </c>
      <c r="C299" s="6" t="str">
        <f>CLEAN("5120-02-70")</f>
        <v>5120-02-70</v>
      </c>
      <c r="D299" s="6">
        <v>2021</v>
      </c>
      <c r="E299" s="6" t="str">
        <f>CLEAN("STH-033")</f>
        <v>STH-033</v>
      </c>
      <c r="F299" s="4">
        <v>44327</v>
      </c>
      <c r="G299" s="3" t="str">
        <f>CLEAN("C LA CROSSE  INTERSECTION IMPRVMNTS")</f>
        <v>C LA CROSSE  INTERSECTION IMPRVMNTS</v>
      </c>
      <c r="H299" s="3" t="str">
        <f>CLEAN("JACKSON ST/STH 35/WEST AVE INTER")</f>
        <v>JACKSON ST/STH 35/WEST AVE INTER</v>
      </c>
      <c r="I299" s="3" t="str">
        <f>CLEAN("CONST/LEFT TURN LANES &amp; MONOTUBES")</f>
        <v>CONST/LEFT TURN LANES &amp; MONOTUBES</v>
      </c>
      <c r="J299" s="3">
        <v>0.10199999999999999</v>
      </c>
    </row>
    <row r="300" spans="1:10" x14ac:dyDescent="0.25">
      <c r="A300" s="3" t="str">
        <f>CLEAN("LA CROSSE")</f>
        <v>LA CROSSE</v>
      </c>
      <c r="B300" s="6" t="str">
        <f>CLEAN("1641-03-04")</f>
        <v>1641-03-04</v>
      </c>
      <c r="C300" s="6" t="str">
        <f>CLEAN("7575-07-70")</f>
        <v>7575-07-70</v>
      </c>
      <c r="D300" s="6">
        <v>2021</v>
      </c>
      <c r="E300" s="6" t="str">
        <f>CLEAN("STH-016")</f>
        <v>STH-016</v>
      </c>
      <c r="F300" s="4">
        <v>44327</v>
      </c>
      <c r="G300" s="3" t="str">
        <f>CLEAN("C LA CROSSE  INTERSECTION IMPRVMNTS")</f>
        <v>C LA CROSSE  INTERSECTION IMPRVMNTS</v>
      </c>
      <c r="H300" s="3" t="str">
        <f>CLEAN("LA CROSSE ST/STH 35/WEST AVE INTER")</f>
        <v>LA CROSSE ST/STH 35/WEST AVE INTER</v>
      </c>
      <c r="I300" s="3" t="str">
        <f>CLEAN("CONST/LEFT TURN LANES &amp; MONOTUBES")</f>
        <v>CONST/LEFT TURN LANES &amp; MONOTUBES</v>
      </c>
      <c r="J300" s="3">
        <v>0.11600000000000001</v>
      </c>
    </row>
    <row r="301" spans="1:10" x14ac:dyDescent="0.25">
      <c r="A301" s="3" t="str">
        <f>CLEAN("LA CROSSE")</f>
        <v>LA CROSSE</v>
      </c>
      <c r="B301" s="6" t="str">
        <f>CLEAN("7575-00-01")</f>
        <v>7575-00-01</v>
      </c>
      <c r="C301" s="6" t="str">
        <f>CLEAN("3700-10-83")</f>
        <v>3700-10-83</v>
      </c>
      <c r="D301" s="6">
        <v>2021</v>
      </c>
      <c r="E301" s="6" t="str">
        <f>CLEAN("STH-016")</f>
        <v>STH-016</v>
      </c>
      <c r="F301" s="4">
        <v>44402</v>
      </c>
      <c r="G301" s="3" t="str">
        <f>CLEAN("LA CROSSE - SPARTA")</f>
        <v>LA CROSSE - SPARTA</v>
      </c>
      <c r="H301" s="3" t="str">
        <f>CLEAN("STH 16/IH 90 INTERCHANG EB/WB RAMPS")</f>
        <v>STH 16/IH 90 INTERCHANG EB/WB RAMPS</v>
      </c>
      <c r="I301" s="3" t="str">
        <f>CLEAN("MIS/MONOTUBE INSTALLATION")</f>
        <v>MIS/MONOTUBE INSTALLATION</v>
      </c>
      <c r="J301" s="3">
        <v>0.05</v>
      </c>
    </row>
    <row r="302" spans="1:10" x14ac:dyDescent="0.25">
      <c r="A302" s="3" t="str">
        <f>CLEAN("LA CROSSE")</f>
        <v>LA CROSSE</v>
      </c>
      <c r="B302" s="6" t="str">
        <f>CLEAN("5163-07-02")</f>
        <v>5163-07-02</v>
      </c>
      <c r="C302" s="6" t="str">
        <f>CLEAN("5163-07-77")</f>
        <v>5163-07-77</v>
      </c>
      <c r="D302" s="6">
        <v>2022</v>
      </c>
      <c r="E302" s="6" t="str">
        <f>CLEAN("STH-035")</f>
        <v>STH-035</v>
      </c>
      <c r="F302" s="4">
        <v>44544</v>
      </c>
      <c r="G302" s="3" t="str">
        <f>CLEAN("GENOA - LACROSSE")</f>
        <v>GENOA - LACROSSE</v>
      </c>
      <c r="H302" s="3" t="str">
        <f>CLEAN("SUNNYSIDE DR TO GARNER PLACE")</f>
        <v>SUNNYSIDE DR TO GARNER PLACE</v>
      </c>
      <c r="I302" s="3" t="str">
        <f>CLEAN("CONST/ RECONFIGURE INTERSECTION")</f>
        <v>CONST/ RECONFIGURE INTERSECTION</v>
      </c>
      <c r="J302" s="3">
        <v>2.52</v>
      </c>
    </row>
    <row r="303" spans="1:10" x14ac:dyDescent="0.25">
      <c r="A303" s="3" t="str">
        <f>CLEAN("LA CROSSE")</f>
        <v>LA CROSSE</v>
      </c>
      <c r="B303" s="6" t="str">
        <f>CLEAN("7048-00-00")</f>
        <v>7048-00-00</v>
      </c>
      <c r="C303" s="6" t="str">
        <f>CLEAN("7048-00-80")</f>
        <v>7048-00-80</v>
      </c>
      <c r="D303" s="6">
        <v>2022</v>
      </c>
      <c r="E303" s="6" t="str">
        <f>CLEAN("CTH-C")</f>
        <v>CTH-C</v>
      </c>
      <c r="F303" s="4">
        <v>44544</v>
      </c>
      <c r="G303" s="3" t="str">
        <f>CLEAN("IH 90 TO STH 16")</f>
        <v>IH 90 TO STH 16</v>
      </c>
      <c r="H303" s="3" t="str">
        <f>CLEAN("CTH B &amp; CP RR BRIDGE B-32-69")</f>
        <v>CTH B &amp; CP RR BRIDGE B-32-69</v>
      </c>
      <c r="I303" s="3" t="str">
        <f>CLEAN("CONST/DECK REPLACEMENT/84.10 BRIDGE")</f>
        <v>CONST/DECK REPLACEMENT/84.10 BRIDGE</v>
      </c>
      <c r="J303" s="3">
        <v>9.0999999999999998E-2</v>
      </c>
    </row>
    <row r="304" spans="1:10" x14ac:dyDescent="0.25">
      <c r="A304" s="3" t="str">
        <f>CLEAN("LA CROSSE")</f>
        <v>LA CROSSE</v>
      </c>
      <c r="B304" s="6" t="str">
        <f>CLEAN("7570-05-34")</f>
        <v>7570-05-34</v>
      </c>
      <c r="C304" s="6" t="str">
        <f>CLEAN("7570-05-64")</f>
        <v>7570-05-64</v>
      </c>
      <c r="D304" s="6">
        <v>2022</v>
      </c>
      <c r="E304" s="6" t="str">
        <f>CLEAN("STH-016")</f>
        <v>STH-016</v>
      </c>
      <c r="F304" s="4">
        <v>44544</v>
      </c>
      <c r="G304" s="3" t="str">
        <f>CLEAN("LA CROSSE - SPARTA")</f>
        <v>LA CROSSE - SPARTA</v>
      </c>
      <c r="H304" s="3" t="str">
        <f>CLEAN(".27 MI E OF LA CROSSE R TO BIG CK")</f>
        <v>.27 MI E OF LA CROSSE R TO BIG CK</v>
      </c>
      <c r="I304" s="3" t="str">
        <f>CLEAN("CONST/ MILL AND OVERLAY")</f>
        <v>CONST/ MILL AND OVERLAY</v>
      </c>
      <c r="J304" s="3">
        <v>7.9210000000000003</v>
      </c>
    </row>
    <row r="305" spans="1:10" x14ac:dyDescent="0.25">
      <c r="A305" s="3" t="str">
        <f>CLEAN("LA CROSSE")</f>
        <v>LA CROSSE</v>
      </c>
      <c r="B305" s="6" t="str">
        <f>CLEAN("1641-02-02")</f>
        <v>1641-02-02</v>
      </c>
      <c r="C305" s="6" t="str">
        <f>CLEAN("1641-02-72")</f>
        <v>1641-02-72</v>
      </c>
      <c r="D305" s="6">
        <v>2022</v>
      </c>
      <c r="E305" s="6" t="str">
        <f>CLEAN("USH-014")</f>
        <v>USH-014</v>
      </c>
      <c r="F305" s="4">
        <v>44572</v>
      </c>
      <c r="G305" s="3" t="str">
        <f>CLEAN("C LACROSSE  SOUTH AVENUE")</f>
        <v>C LACROSSE  SOUTH AVENUE</v>
      </c>
      <c r="H305" s="3" t="str">
        <f>CLEAN("GREEN BAY STREET TO WARD AVENUE")</f>
        <v>GREEN BAY STREET TO WARD AVENUE</v>
      </c>
      <c r="I305" s="3" t="str">
        <f>CLEAN("CONST/HSIP &amp; GRADE  BASE  SURFACE")</f>
        <v>CONST/HSIP &amp; GRADE  BASE  SURFACE</v>
      </c>
      <c r="J305" s="3">
        <v>1.05</v>
      </c>
    </row>
    <row r="306" spans="1:10" x14ac:dyDescent="0.25">
      <c r="A306" s="3" t="str">
        <f>CLEAN("LA CROSSE")</f>
        <v>LA CROSSE</v>
      </c>
      <c r="B306" s="6" t="str">
        <f>CLEAN("1641-02-02")</f>
        <v>1641-02-02</v>
      </c>
      <c r="C306" s="6" t="str">
        <f>CLEAN("1641-02-82")</f>
        <v>1641-02-82</v>
      </c>
      <c r="D306" s="6">
        <v>2022</v>
      </c>
      <c r="E306" s="6" t="str">
        <f>CLEAN("USH-014")</f>
        <v>USH-014</v>
      </c>
      <c r="F306" s="4">
        <v>44572</v>
      </c>
      <c r="G306" s="3" t="str">
        <f>CLEAN("C LACROSSE  SOUTH AVENUE")</f>
        <v>C LACROSSE  SOUTH AVENUE</v>
      </c>
      <c r="H306" s="3" t="str">
        <f>CLEAN("GREEN BAY STREET TO WARD AVENUE")</f>
        <v>GREEN BAY STREET TO WARD AVENUE</v>
      </c>
      <c r="I306" s="3" t="str">
        <f>CLEAN("CONST OPS/SEWER &amp; WATER")</f>
        <v>CONST OPS/SEWER &amp; WATER</v>
      </c>
      <c r="J306" s="3">
        <v>1.05</v>
      </c>
    </row>
    <row r="307" spans="1:10" x14ac:dyDescent="0.25">
      <c r="A307" s="3" t="str">
        <f>CLEAN("LA CROSSE")</f>
        <v>LA CROSSE</v>
      </c>
      <c r="B307" s="6" t="str">
        <f>CLEAN("1070-04-33")</f>
        <v>1070-04-33</v>
      </c>
      <c r="C307" s="6" t="str">
        <f>CLEAN("1070-04-63")</f>
        <v>1070-04-63</v>
      </c>
      <c r="D307" s="6">
        <v>2022</v>
      </c>
      <c r="E307" s="6" t="str">
        <f>CLEAN("IH -090")</f>
        <v>IH -090</v>
      </c>
      <c r="F307" s="4">
        <v>44600</v>
      </c>
      <c r="G307" s="3" t="str">
        <f>CLEAN("LA CROSSE - SPARTA")</f>
        <v>LA CROSSE - SPARTA</v>
      </c>
      <c r="H307" s="3" t="str">
        <f>CLEAN("CTH BW  CTH B  STH 157 EB BRIDGES")</f>
        <v>CTH BW  CTH B  STH 157 EB BRIDGES</v>
      </c>
      <c r="I307" s="3" t="str">
        <f>CLEAN("CONST/B32-51 52 55 THIN POLY OLAYS")</f>
        <v>CONST/B32-51 52 55 THIN POLY OLAYS</v>
      </c>
      <c r="J307" s="3">
        <v>0.16</v>
      </c>
    </row>
    <row r="308" spans="1:10" x14ac:dyDescent="0.25">
      <c r="A308" s="3" t="str">
        <f>CLEAN("LA CROSSE")</f>
        <v>LA CROSSE</v>
      </c>
      <c r="B308" s="6" t="str">
        <f>CLEAN("7575-07-03")</f>
        <v>7575-07-03</v>
      </c>
      <c r="C308" s="6" t="str">
        <f>CLEAN("7575-07-73")</f>
        <v>7575-07-73</v>
      </c>
      <c r="D308" s="6">
        <v>2022</v>
      </c>
      <c r="E308" s="6" t="str">
        <f>CLEAN("STH-016")</f>
        <v>STH-016</v>
      </c>
      <c r="F308" s="4">
        <v>44663</v>
      </c>
      <c r="G308" s="3" t="str">
        <f>CLEAN("C LA CROSSE  LA CROSSE STREET")</f>
        <v>C LA CROSSE  LA CROSSE STREET</v>
      </c>
      <c r="H308" s="3" t="str">
        <f>CLEAN("OAKLAND ST TO LOSEY BLVD")</f>
        <v>OAKLAND ST TO LOSEY BLVD</v>
      </c>
      <c r="I308" s="3" t="str">
        <f>CLEAN("CONST OPS//PATCH AND OVERLAY")</f>
        <v>CONST OPS//PATCH AND OVERLAY</v>
      </c>
      <c r="J308" s="3">
        <v>0.91</v>
      </c>
    </row>
    <row r="309" spans="1:10" x14ac:dyDescent="0.25">
      <c r="A309" s="3" t="str">
        <f>CLEAN("LA CROSSE")</f>
        <v>LA CROSSE</v>
      </c>
      <c r="B309" s="6" t="str">
        <f>CLEAN("7575-07-03")</f>
        <v>7575-07-03</v>
      </c>
      <c r="C309" s="6" t="str">
        <f>CLEAN("7575-07-83")</f>
        <v>7575-07-83</v>
      </c>
      <c r="D309" s="6">
        <v>2022</v>
      </c>
      <c r="E309" s="6" t="str">
        <f>CLEAN("STH-016")</f>
        <v>STH-016</v>
      </c>
      <c r="F309" s="4">
        <v>44663</v>
      </c>
      <c r="G309" s="3" t="str">
        <f>CLEAN("C LA CROSSE  LA CROSSE STREET")</f>
        <v>C LA CROSSE  LA CROSSE STREET</v>
      </c>
      <c r="H309" s="3" t="str">
        <f>CLEAN("OAKLAND ST TO LOSEY BLVD")</f>
        <v>OAKLAND ST TO LOSEY BLVD</v>
      </c>
      <c r="I309" s="3" t="str">
        <f>CLEAN("CONST OPS/SANITARY SEWER AND WATER")</f>
        <v>CONST OPS/SANITARY SEWER AND WATER</v>
      </c>
      <c r="J309" s="3">
        <v>0.91</v>
      </c>
    </row>
    <row r="310" spans="1:10" x14ac:dyDescent="0.25">
      <c r="A310" s="3" t="str">
        <f>CLEAN("LA CROSSE")</f>
        <v>LA CROSSE</v>
      </c>
      <c r="B310" s="6" t="str">
        <f>CLEAN("1074-00-02")</f>
        <v>1074-00-02</v>
      </c>
      <c r="C310" s="6" t="str">
        <f>CLEAN("1074-00-72")</f>
        <v>1074-00-72</v>
      </c>
      <c r="D310" s="6">
        <v>2023</v>
      </c>
      <c r="E310" s="6" t="str">
        <f>CLEAN("IH -090")</f>
        <v>IH -090</v>
      </c>
      <c r="F310" s="4">
        <v>44873</v>
      </c>
      <c r="G310" s="3" t="str">
        <f>CLEAN("LA CROSSE - SPARTA")</f>
        <v>LA CROSSE - SPARTA</v>
      </c>
      <c r="H310" s="3" t="str">
        <f>CLEAN("CTH C TO EAST COUNTY LINE")</f>
        <v>CTH C TO EAST COUNTY LINE</v>
      </c>
      <c r="I310" s="3" t="str">
        <f>CLEAN("CONST/RESURFACE BOTH ROADWAYS")</f>
        <v>CONST/RESURFACE BOTH ROADWAYS</v>
      </c>
      <c r="J310" s="3">
        <v>7.819</v>
      </c>
    </row>
    <row r="311" spans="1:10" x14ac:dyDescent="0.25">
      <c r="A311" s="3" t="str">
        <f>CLEAN("LA CROSSE")</f>
        <v>LA CROSSE</v>
      </c>
      <c r="B311" s="6" t="str">
        <f>CLEAN("1070-04-34")</f>
        <v>1070-04-34</v>
      </c>
      <c r="C311" s="6" t="str">
        <f>CLEAN("1070-04-64")</f>
        <v>1070-04-64</v>
      </c>
      <c r="D311" s="6">
        <v>2024</v>
      </c>
      <c r="E311" s="6" t="str">
        <f>CLEAN("IH -090")</f>
        <v>IH -090</v>
      </c>
      <c r="F311" s="4">
        <v>45244</v>
      </c>
      <c r="G311" s="3" t="str">
        <f>CLEAN("LA CROSSE - SPARTA")</f>
        <v>LA CROSSE - SPARTA</v>
      </c>
      <c r="H311" s="3" t="str">
        <f>CLEAN("BLACK RVR  ROUND LK  BAINBRIDGE BRG")</f>
        <v>BLACK RVR  ROUND LK  BAINBRIDGE BRG</v>
      </c>
      <c r="I311" s="3" t="str">
        <f>CLEAN("CNST/B32-34 35 46 47 CO; B32-73 RPL")</f>
        <v>CNST/B32-34 35 46 47 CO; B32-73 RPL</v>
      </c>
      <c r="J311" s="3">
        <v>0.21199999999999999</v>
      </c>
    </row>
    <row r="312" spans="1:10" x14ac:dyDescent="0.25">
      <c r="A312" s="3" t="str">
        <f>CLEAN("LA CROSSE")</f>
        <v>LA CROSSE</v>
      </c>
      <c r="B312" s="6" t="str">
        <f>CLEAN("5820-00-30")</f>
        <v>5820-00-30</v>
      </c>
      <c r="C312" s="6" t="str">
        <f>CLEAN("5820-00-60")</f>
        <v>5820-00-60</v>
      </c>
      <c r="D312" s="6">
        <v>2024</v>
      </c>
      <c r="E312" s="6" t="str">
        <f>CLEAN("STH-162")</f>
        <v>STH-162</v>
      </c>
      <c r="F312" s="4">
        <v>45244</v>
      </c>
      <c r="G312" s="3" t="str">
        <f>CLEAN("COON VALLEY - BANGOR")</f>
        <v>COON VALLEY - BANGOR</v>
      </c>
      <c r="H312" s="3" t="str">
        <f>CLEAN("DUTCH CREEK BRIDGE B-32-15")</f>
        <v>DUTCH CREEK BRIDGE B-32-15</v>
      </c>
      <c r="I312" s="3" t="str">
        <f>CLEAN("CONSTRUCTION/ CONCRETE OVERLAY")</f>
        <v>CONSTRUCTION/ CONCRETE OVERLAY</v>
      </c>
      <c r="J312" s="3">
        <v>0.26300000000000001</v>
      </c>
    </row>
    <row r="313" spans="1:10" x14ac:dyDescent="0.25">
      <c r="A313" s="3" t="str">
        <f>CLEAN("LA CROSSE")</f>
        <v>LA CROSSE</v>
      </c>
      <c r="B313" s="6" t="str">
        <f>CLEAN("5200-03-33")</f>
        <v>5200-03-33</v>
      </c>
      <c r="C313" s="6" t="str">
        <f>CLEAN("5200-03-63")</f>
        <v>5200-03-63</v>
      </c>
      <c r="D313" s="6">
        <v>2024</v>
      </c>
      <c r="E313" s="6" t="str">
        <f>CLEAN("USH-014")</f>
        <v>USH-014</v>
      </c>
      <c r="F313" s="4">
        <v>45272</v>
      </c>
      <c r="G313" s="3" t="str">
        <f>CLEAN("C LACROSSE  CAMERON AVE &amp; CASS ST")</f>
        <v>C LACROSSE  CAMERON AVE &amp; CASS ST</v>
      </c>
      <c r="H313" s="3" t="str">
        <f>CLEAN("MISSISSIPPI RVR B-32-202 &amp; B-32-300")</f>
        <v>MISSISSIPPI RVR B-32-202 &amp; B-32-300</v>
      </c>
      <c r="I313" s="3" t="str">
        <f>CLEAN("CONST/ REPAIRS &amp; SPOT PAINT")</f>
        <v>CONST/ REPAIRS &amp; SPOT PAINT</v>
      </c>
      <c r="J313" s="3">
        <v>0.21</v>
      </c>
    </row>
    <row r="314" spans="1:10" x14ac:dyDescent="0.25">
      <c r="A314" s="3" t="str">
        <f>CLEAN("LA CROSSE")</f>
        <v>LA CROSSE</v>
      </c>
      <c r="B314" s="6" t="str">
        <f>CLEAN("7575-01-01")</f>
        <v>7575-01-01</v>
      </c>
      <c r="C314" s="6" t="str">
        <f>CLEAN("7575-01-80")</f>
        <v>7575-01-80</v>
      </c>
      <c r="D314" s="6">
        <v>2024</v>
      </c>
      <c r="E314" s="6" t="str">
        <f>CLEAN("STH-016")</f>
        <v>STH-016</v>
      </c>
      <c r="F314" s="4">
        <v>45272</v>
      </c>
      <c r="G314" s="3" t="str">
        <f>CLEAN("LACROSSE - SPARTA")</f>
        <v>LACROSSE - SPARTA</v>
      </c>
      <c r="H314" s="3" t="str">
        <f>CLEAN("GILLETTE STREET TO STH 157")</f>
        <v>GILLETTE STREET TO STH 157</v>
      </c>
      <c r="I314" s="3" t="str">
        <f>CLEAN("CONST/REPLACE STRUCTURE B-32-XXXX")</f>
        <v>CONST/REPLACE STRUCTURE B-32-XXXX</v>
      </c>
      <c r="J314" s="3">
        <v>1.41</v>
      </c>
    </row>
    <row r="315" spans="1:10" x14ac:dyDescent="0.25">
      <c r="A315" s="3" t="str">
        <f>CLEAN("LA CROSSE")</f>
        <v>LA CROSSE</v>
      </c>
      <c r="B315" s="6" t="str">
        <f>CLEAN("5163-07-02")</f>
        <v>5163-07-02</v>
      </c>
      <c r="C315" s="6" t="str">
        <f>CLEAN("5163-07-72")</f>
        <v>5163-07-72</v>
      </c>
      <c r="D315" s="6">
        <v>2025</v>
      </c>
      <c r="E315" s="6" t="str">
        <f>CLEAN("STH-035")</f>
        <v>STH-035</v>
      </c>
      <c r="F315" s="4">
        <v>45608</v>
      </c>
      <c r="G315" s="3" t="str">
        <f>CLEAN("GENOA - LACROSSE")</f>
        <v>GENOA - LACROSSE</v>
      </c>
      <c r="H315" s="3" t="str">
        <f>CLEAN("LACROSSE CO LINE TO SUNNYSIDE DR")</f>
        <v>LACROSSE CO LINE TO SUNNYSIDE DR</v>
      </c>
      <c r="I315" s="3" t="str">
        <f>CLEAN("CONST/RECONSTRUCT")</f>
        <v>CONST/RECONSTRUCT</v>
      </c>
      <c r="J315" s="3">
        <v>1.5609999999999999</v>
      </c>
    </row>
    <row r="316" spans="1:10" x14ac:dyDescent="0.25">
      <c r="A316" s="3" t="str">
        <f>CLEAN("LA CROSSE")</f>
        <v>LA CROSSE</v>
      </c>
      <c r="B316" s="6" t="str">
        <f>CLEAN("7575-01-06")</f>
        <v>7575-01-06</v>
      </c>
      <c r="C316" s="6" t="str">
        <f>CLEAN("7575-01-76")</f>
        <v>7575-01-76</v>
      </c>
      <c r="D316" s="6">
        <v>2025</v>
      </c>
      <c r="E316" s="6" t="str">
        <f>CLEAN("STH-016")</f>
        <v>STH-016</v>
      </c>
      <c r="F316" s="4">
        <v>45608</v>
      </c>
      <c r="G316" s="3" t="str">
        <f>CLEAN("LA CROSSE - SPARTA")</f>
        <v>LA CROSSE - SPARTA</v>
      </c>
      <c r="H316" s="3" t="str">
        <f>CLEAN("LOSEY BLV TO SOUTH KINNEY COULEE RD")</f>
        <v>LOSEY BLV TO SOUTH KINNEY COULEE RD</v>
      </c>
      <c r="I316" s="3" t="str">
        <f>CLEAN("CONST/ REPAIR  MILL &amp; OVERLAY")</f>
        <v>CONST/ REPAIR  MILL &amp; OVERLAY</v>
      </c>
      <c r="J316" s="3">
        <v>4.1820000000000004</v>
      </c>
    </row>
    <row r="317" spans="1:10" x14ac:dyDescent="0.25">
      <c r="A317" s="3" t="str">
        <f>CLEAN("LA CROSSE")</f>
        <v>LA CROSSE</v>
      </c>
      <c r="B317" s="6" t="str">
        <f>CLEAN("7575-01-35")</f>
        <v>7575-01-35</v>
      </c>
      <c r="C317" s="6" t="str">
        <f>CLEAN("7575-01-65")</f>
        <v>7575-01-65</v>
      </c>
      <c r="D317" s="6">
        <v>2025</v>
      </c>
      <c r="E317" s="6" t="str">
        <f>CLEAN("STH-016")</f>
        <v>STH-016</v>
      </c>
      <c r="F317" s="4">
        <v>45636</v>
      </c>
      <c r="G317" s="3" t="str">
        <f>CLEAN("LA CROSSE - SPARTA")</f>
        <v>LA CROSSE - SPARTA</v>
      </c>
      <c r="H317" s="3" t="str">
        <f>CLEAN("MEDARY OVERPASS B-32-111")</f>
        <v>MEDARY OVERPASS B-32-111</v>
      </c>
      <c r="I317" s="3" t="str">
        <f>CLEAN("CONST/ CONC OVERLAY  PAINT  REPAIRS")</f>
        <v>CONST/ CONC OVERLAY  PAINT  REPAIRS</v>
      </c>
      <c r="J317" s="3">
        <v>0.13</v>
      </c>
    </row>
    <row r="318" spans="1:10" x14ac:dyDescent="0.25">
      <c r="A318" s="3" t="str">
        <f>CLEAN("LA CROSSE")</f>
        <v>LA CROSSE</v>
      </c>
      <c r="B318" s="6" t="str">
        <f>CLEAN("1630-08-00")</f>
        <v>1630-08-00</v>
      </c>
      <c r="C318" s="6" t="str">
        <f>CLEAN("1630-08-70")</f>
        <v>1630-08-70</v>
      </c>
      <c r="D318" s="6">
        <v>2031</v>
      </c>
      <c r="E318" s="6" t="str">
        <f>CLEAN("USH-053")</f>
        <v>USH-053</v>
      </c>
      <c r="F318" s="4">
        <v>47862</v>
      </c>
      <c r="G318" s="3" t="str">
        <f>CLEAN("USH 14/61 - I-90/WETLAND MITIGATION")</f>
        <v>USH 14/61 - I-90/WETLAND MITIGATION</v>
      </c>
      <c r="H318" s="3" t="str">
        <f>CLEAN("USH 14/61 NLY TO I-90")</f>
        <v>USH 14/61 NLY TO I-90</v>
      </c>
      <c r="I318" s="3" t="str">
        <f>CLEAN("RECONST-MITIGATION")</f>
        <v>RECONST-MITIGATION</v>
      </c>
      <c r="J318" s="3">
        <v>4.2699999999999996</v>
      </c>
    </row>
    <row r="319" spans="1:10" x14ac:dyDescent="0.25">
      <c r="A319" s="3" t="str">
        <f>CLEAN("LA CROSSE")</f>
        <v>LA CROSSE</v>
      </c>
      <c r="B319" s="6" t="str">
        <f>CLEAN("1630-08-00")</f>
        <v>1630-08-00</v>
      </c>
      <c r="C319" s="6" t="str">
        <f>CLEAN("1630-08-80")</f>
        <v>1630-08-80</v>
      </c>
      <c r="D319" s="6">
        <v>2031</v>
      </c>
      <c r="E319" s="6" t="str">
        <f>CLEAN("USH-053")</f>
        <v>USH-053</v>
      </c>
      <c r="F319" s="4">
        <v>47862</v>
      </c>
      <c r="G319" s="3" t="str">
        <f>CLEAN("USH 14/61 - I-90/WETLAND MITIGATION")</f>
        <v>USH 14/61 - I-90/WETLAND MITIGATION</v>
      </c>
      <c r="H319" s="3" t="str">
        <f>CLEAN("USH 14/61 NLY TO I-90")</f>
        <v>USH 14/61 NLY TO I-90</v>
      </c>
      <c r="I319" s="3" t="str">
        <f>CLEAN("RECONST-MITIGATION")</f>
        <v>RECONST-MITIGATION</v>
      </c>
      <c r="J319" s="3">
        <v>4.2699999999999996</v>
      </c>
    </row>
    <row r="320" spans="1:10" x14ac:dyDescent="0.25">
      <c r="A320" s="3" t="str">
        <f>CLEAN("LA CROSSE")</f>
        <v>LA CROSSE</v>
      </c>
      <c r="B320" s="6" t="str">
        <f>CLEAN("1630-08-00")</f>
        <v>1630-08-00</v>
      </c>
      <c r="C320" s="6" t="str">
        <f>CLEAN("1630-08-86")</f>
        <v>1630-08-86</v>
      </c>
      <c r="D320" s="6">
        <v>2031</v>
      </c>
      <c r="E320" s="6" t="str">
        <f>CLEAN("USH-053")</f>
        <v>USH-053</v>
      </c>
      <c r="F320" s="4">
        <v>47862</v>
      </c>
      <c r="G320" s="3" t="str">
        <f>CLEAN("USH14/61 - I-90//GILLETTE - I-90")</f>
        <v>USH14/61 - I-90//GILLETTE - I-90</v>
      </c>
      <c r="H320" s="3" t="str">
        <f>CLEAN("GILLETTE ST NLY TO I-90")</f>
        <v>GILLETTE ST NLY TO I-90</v>
      </c>
      <c r="I320" s="3" t="str">
        <f>CLEAN("RECONSTRUCTION (GRADING/NEW STRUCT)")</f>
        <v>RECONSTRUCTION (GRADING/NEW STRUCT)</v>
      </c>
      <c r="J320" s="3">
        <v>1.61</v>
      </c>
    </row>
    <row r="321" spans="1:10" x14ac:dyDescent="0.25">
      <c r="A321" s="3" t="str">
        <f>CLEAN("LA CROSSE")</f>
        <v>LA CROSSE</v>
      </c>
      <c r="B321" s="6" t="str">
        <f>CLEAN("1630-08-00")</f>
        <v>1630-08-00</v>
      </c>
      <c r="C321" s="6" t="str">
        <f>CLEAN("1630-08-88")</f>
        <v>1630-08-88</v>
      </c>
      <c r="D321" s="6">
        <v>2031</v>
      </c>
      <c r="E321" s="6" t="str">
        <f>CLEAN("USH-053")</f>
        <v>USH-053</v>
      </c>
      <c r="F321" s="4">
        <v>47862</v>
      </c>
      <c r="G321" s="3" t="str">
        <f>CLEAN("USH14/61 - I-90//GILLETTE - I-90")</f>
        <v>USH14/61 - I-90//GILLETTE - I-90</v>
      </c>
      <c r="H321" s="3" t="str">
        <f>CLEAN("GILLETTE ST NLY TO I-90")</f>
        <v>GILLETTE ST NLY TO I-90</v>
      </c>
      <c r="I321" s="3" t="str">
        <f>CLEAN("RECONSTRUCTION (SURFACE)")</f>
        <v>RECONSTRUCTION (SURFACE)</v>
      </c>
      <c r="J321" s="3">
        <v>1.61</v>
      </c>
    </row>
    <row r="322" spans="1:10" x14ac:dyDescent="0.25">
      <c r="A322" s="3" t="str">
        <f>CLEAN("LA CROSSE")</f>
        <v>LA CROSSE</v>
      </c>
      <c r="B322" s="6" t="str">
        <f>CLEAN("1630-08-00")</f>
        <v>1630-08-00</v>
      </c>
      <c r="C322" s="6" t="str">
        <f>CLEAN("1630-08-89")</f>
        <v>1630-08-89</v>
      </c>
      <c r="D322" s="6">
        <v>2031</v>
      </c>
      <c r="E322" s="6" t="str">
        <f>CLEAN("USH-053")</f>
        <v>USH-053</v>
      </c>
      <c r="F322" s="4">
        <v>47862</v>
      </c>
      <c r="G322" s="3" t="str">
        <f>CLEAN("USH14/61 - I-90//GILLETTE - I-90")</f>
        <v>USH14/61 - I-90//GILLETTE - I-90</v>
      </c>
      <c r="H322" s="3" t="str">
        <f>CLEAN("GILLETTE NLY TO I-90")</f>
        <v>GILLETTE NLY TO I-90</v>
      </c>
      <c r="I322" s="3" t="str">
        <f>CLEAN("RECONSTRUCTION")</f>
        <v>RECONSTRUCTION</v>
      </c>
      <c r="J322" s="3">
        <v>1.61</v>
      </c>
    </row>
    <row r="323" spans="1:10" x14ac:dyDescent="0.25">
      <c r="A323" s="3" t="str">
        <f>CLEAN("LA CROSSE")</f>
        <v>LA CROSSE</v>
      </c>
      <c r="B323" s="6" t="str">
        <f>CLEAN("1630-08-00")</f>
        <v>1630-08-00</v>
      </c>
      <c r="C323" s="6" t="str">
        <f>CLEAN("1630-08-81")</f>
        <v>1630-08-81</v>
      </c>
      <c r="D323" s="6">
        <v>2033</v>
      </c>
      <c r="E323" s="6" t="str">
        <f>CLEAN("USH-053")</f>
        <v>USH-053</v>
      </c>
      <c r="F323" s="4">
        <v>48527</v>
      </c>
      <c r="G323" s="3" t="str">
        <f>CLEAN("USH14/61 - I-90//MONITOR - GILLETTE")</f>
        <v>USH14/61 - I-90//MONITOR - GILLETTE</v>
      </c>
      <c r="H323" s="3" t="str">
        <f>CLEAN("MONITOR ST NLY TO ST CLOUD ST")</f>
        <v>MONITOR ST NLY TO ST CLOUD ST</v>
      </c>
      <c r="I323" s="3" t="str">
        <f>CLEAN("RECONSTRUCTION")</f>
        <v>RECONSTRUCTION</v>
      </c>
      <c r="J323" s="3">
        <v>1.25</v>
      </c>
    </row>
    <row r="324" spans="1:10" x14ac:dyDescent="0.25">
      <c r="A324" s="3" t="str">
        <f>CLEAN("LA CROSSE")</f>
        <v>LA CROSSE</v>
      </c>
      <c r="B324" s="6" t="str">
        <f>CLEAN("1630-08-00")</f>
        <v>1630-08-00</v>
      </c>
      <c r="C324" s="6" t="str">
        <f>CLEAN("1630-08-84")</f>
        <v>1630-08-84</v>
      </c>
      <c r="D324" s="6">
        <v>2034</v>
      </c>
      <c r="E324" s="6" t="str">
        <f>CLEAN("USH-053")</f>
        <v>USH-053</v>
      </c>
      <c r="F324" s="4">
        <v>48891</v>
      </c>
      <c r="G324" s="3" t="str">
        <f>CLEAN("USH14/61 - I-90//MONITOR - GILLETTE")</f>
        <v>USH14/61 - I-90//MONITOR - GILLETTE</v>
      </c>
      <c r="H324" s="3" t="str">
        <f>CLEAN("ST CLOUD ST NLY TO GILLETTE ST")</f>
        <v>ST CLOUD ST NLY TO GILLETTE ST</v>
      </c>
      <c r="I324" s="3" t="str">
        <f>CLEAN("RECONSTRUCTION")</f>
        <v>RECONSTRUCTION</v>
      </c>
      <c r="J324" s="3">
        <v>1.25</v>
      </c>
    </row>
    <row r="325" spans="1:10" x14ac:dyDescent="0.25">
      <c r="A325" s="3" t="str">
        <f>CLEAN("LA CROSSE")</f>
        <v>LA CROSSE</v>
      </c>
      <c r="B325" s="6" t="str">
        <f>CLEAN("1630-08-00")</f>
        <v>1630-08-00</v>
      </c>
      <c r="C325" s="6" t="str">
        <f>CLEAN("1630-08-75")</f>
        <v>1630-08-75</v>
      </c>
      <c r="D325" s="6">
        <v>2035</v>
      </c>
      <c r="E325" s="6" t="str">
        <f>CLEAN("USH-053")</f>
        <v>USH-053</v>
      </c>
      <c r="F325" s="4">
        <v>49262</v>
      </c>
      <c r="G325" s="3" t="str">
        <f>CLEAN("USH14/61 - I-90//LAX ST.-MONITOR ST")</f>
        <v>USH14/61 - I-90//LAX ST.-MONITOR ST</v>
      </c>
      <c r="H325" s="3" t="str">
        <f>CLEAN("LA CROSSE ST NLY TO MONITOR ST")</f>
        <v>LA CROSSE ST NLY TO MONITOR ST</v>
      </c>
      <c r="I325" s="3" t="str">
        <f>CLEAN("RECONSTRUCTION (GRADING)")</f>
        <v>RECONSTRUCTION (GRADING)</v>
      </c>
      <c r="J325" s="3">
        <v>0.79</v>
      </c>
    </row>
    <row r="326" spans="1:10" x14ac:dyDescent="0.25">
      <c r="A326" s="3" t="str">
        <f>CLEAN("LA CROSSE")</f>
        <v>LA CROSSE</v>
      </c>
      <c r="B326" s="6" t="str">
        <f>CLEAN("1630-08-00")</f>
        <v>1630-08-00</v>
      </c>
      <c r="C326" s="6" t="str">
        <f>CLEAN("1630-08-77")</f>
        <v>1630-08-77</v>
      </c>
      <c r="D326" s="6">
        <v>2036</v>
      </c>
      <c r="E326" s="6" t="str">
        <f>CLEAN("USH-053")</f>
        <v>USH-053</v>
      </c>
      <c r="F326" s="4">
        <v>49626</v>
      </c>
      <c r="G326" s="3" t="str">
        <f>CLEAN("USH14/61 - I-90//LAX ST.-MONITOR ST")</f>
        <v>USH14/61 - I-90//LAX ST.-MONITOR ST</v>
      </c>
      <c r="H326" s="3" t="str">
        <f>CLEAN("LA CROSSE ST NLY TO MONITOR ST")</f>
        <v>LA CROSSE ST NLY TO MONITOR ST</v>
      </c>
      <c r="I326" s="3" t="str">
        <f>CLEAN("RECONSTRUCTION (SURFACE)")</f>
        <v>RECONSTRUCTION (SURFACE)</v>
      </c>
      <c r="J326" s="3">
        <v>0.79</v>
      </c>
    </row>
    <row r="327" spans="1:10" x14ac:dyDescent="0.25">
      <c r="A327" s="3" t="str">
        <f>CLEAN("LA CROSSE")</f>
        <v>LA CROSSE</v>
      </c>
      <c r="B327" s="6" t="str">
        <f>CLEAN("1630-08-00")</f>
        <v>1630-08-00</v>
      </c>
      <c r="C327" s="6" t="str">
        <f>CLEAN("1630-08-71")</f>
        <v>1630-08-71</v>
      </c>
      <c r="D327" s="6">
        <v>2037</v>
      </c>
      <c r="E327" s="6" t="str">
        <f>CLEAN("USH-053")</f>
        <v>USH-053</v>
      </c>
      <c r="F327" s="4">
        <v>49991</v>
      </c>
      <c r="G327" s="3" t="str">
        <f>CLEAN("USH14/61 - I-90//SOUTH AVE-LACROSSE")</f>
        <v>USH14/61 - I-90//SOUTH AVE-LACROSSE</v>
      </c>
      <c r="H327" s="3" t="str">
        <f>CLEAN("SOUTH AVE NLY TO LA CROSSE ST")</f>
        <v>SOUTH AVE NLY TO LA CROSSE ST</v>
      </c>
      <c r="I327" s="3" t="str">
        <f>CLEAN("RECONSTRUCTION")</f>
        <v>RECONSTRUCTION</v>
      </c>
      <c r="J327" s="3">
        <v>1.54</v>
      </c>
    </row>
    <row r="328" spans="1:10" x14ac:dyDescent="0.25">
      <c r="A328" s="3"/>
      <c r="B328" s="6"/>
      <c r="C328" s="6"/>
      <c r="D328" s="6"/>
      <c r="E328" s="6"/>
      <c r="F328" s="4"/>
      <c r="G328" s="3"/>
      <c r="H328" s="3"/>
      <c r="I328" s="3"/>
      <c r="J328" s="3"/>
    </row>
    <row r="329" spans="1:10" x14ac:dyDescent="0.25">
      <c r="A329" s="3" t="str">
        <f>CLEAN("LAFAYETTE")</f>
        <v>LAFAYETTE</v>
      </c>
      <c r="B329" s="6" t="str">
        <f>CLEAN("5590-00-01")</f>
        <v>5590-00-01</v>
      </c>
      <c r="C329" s="6" t="str">
        <f>CLEAN("5590-00-81")</f>
        <v>5590-00-81</v>
      </c>
      <c r="D329" s="6">
        <v>2020</v>
      </c>
      <c r="E329" s="6" t="str">
        <f>CLEAN("STH-078")</f>
        <v>STH-078</v>
      </c>
      <c r="F329" s="4">
        <v>43844</v>
      </c>
      <c r="G329" s="3" t="str">
        <f>CLEAN("WARREN - ARGYLE")</f>
        <v>WARREN - ARGYLE</v>
      </c>
      <c r="H329" s="3" t="str">
        <f>CLEAN("PECATONICA RIV STRUCTURE B-33-0009")</f>
        <v>PECATONICA RIV STRUCTURE B-33-0009</v>
      </c>
      <c r="I329" s="3" t="str">
        <f>CLEAN("CONST/REPLACE DECK")</f>
        <v>CONST/REPLACE DECK</v>
      </c>
      <c r="J329" s="3">
        <v>0.123</v>
      </c>
    </row>
    <row r="330" spans="1:10" x14ac:dyDescent="0.25">
      <c r="A330" s="3" t="str">
        <f>CLEAN("LAFAYETTE")</f>
        <v>LAFAYETTE</v>
      </c>
      <c r="B330" s="6" t="str">
        <f>CLEAN("1706-06-60")</f>
        <v>1706-06-60</v>
      </c>
      <c r="C330" s="6" t="str">
        <f>CLEAN("1706-06-60")</f>
        <v>1706-06-60</v>
      </c>
      <c r="D330" s="6">
        <v>2020</v>
      </c>
      <c r="E330" s="6" t="str">
        <f>CLEAN("STH-011")</f>
        <v>STH-011</v>
      </c>
      <c r="F330" s="4">
        <v>43855</v>
      </c>
      <c r="G330" s="3" t="str">
        <f>CLEAN("DUBUQUE - SHULLSBURG")</f>
        <v>DUBUQUE - SHULLSBURG</v>
      </c>
      <c r="H330" s="3" t="str">
        <f>CLEAN("GRANT COUNTY LINE TO SHULLSBURG")</f>
        <v>GRANT COUNTY LINE TO SHULLSBURG</v>
      </c>
      <c r="I330" s="3" t="str">
        <f>CLEAN("LFA/ CONCRETE PAVEMENT REPAIRS")</f>
        <v>LFA/ CONCRETE PAVEMENT REPAIRS</v>
      </c>
      <c r="J330" s="3">
        <v>9.57</v>
      </c>
    </row>
    <row r="331" spans="1:10" x14ac:dyDescent="0.25">
      <c r="A331" s="3" t="str">
        <f>CLEAN("LAFAYETTE")</f>
        <v>LAFAYETTE</v>
      </c>
      <c r="B331" s="6" t="str">
        <f>CLEAN("1706-04-30")</f>
        <v>1706-04-30</v>
      </c>
      <c r="C331" s="6" t="str">
        <f>CLEAN("1706-04-60")</f>
        <v>1706-04-60</v>
      </c>
      <c r="D331" s="6">
        <v>2020</v>
      </c>
      <c r="E331" s="6" t="str">
        <f>CLEAN("STH-011")</f>
        <v>STH-011</v>
      </c>
      <c r="F331" s="4">
        <v>44026</v>
      </c>
      <c r="G331" s="3" t="str">
        <f>CLEAN("SHULLSBURG - MONROE")</f>
        <v>SHULLSBURG - MONROE</v>
      </c>
      <c r="H331" s="3" t="str">
        <f>CLEAN("CTH KK TO EAST COUNTY LINE")</f>
        <v>CTH KK TO EAST COUNTY LINE</v>
      </c>
      <c r="I331" s="3" t="str">
        <f>CLEAN("CONST/ MILL &amp; OVERLAY")</f>
        <v>CONST/ MILL &amp; OVERLAY</v>
      </c>
      <c r="J331" s="3">
        <v>6.56</v>
      </c>
    </row>
    <row r="332" spans="1:10" x14ac:dyDescent="0.25">
      <c r="A332" s="3" t="str">
        <f>CLEAN("LAFAYETTE")</f>
        <v>LAFAYETTE</v>
      </c>
      <c r="B332" s="6" t="str">
        <f>CLEAN("5245-02-02")</f>
        <v>5245-02-02</v>
      </c>
      <c r="C332" s="6" t="str">
        <f>CLEAN("5245-02-72")</f>
        <v>5245-02-72</v>
      </c>
      <c r="D332" s="6">
        <v>2021</v>
      </c>
      <c r="E332" s="6" t="str">
        <f>CLEAN("STH-023")</f>
        <v>STH-023</v>
      </c>
      <c r="F332" s="4">
        <v>44145</v>
      </c>
      <c r="G332" s="3" t="str">
        <f>CLEAN("STH 11 - MINERAL POINT")</f>
        <v>STH 11 - MINERAL POINT</v>
      </c>
      <c r="H332" s="3" t="str">
        <f>CLEAN("COUNTY SHOP ROAD TO MINERVA STREET")</f>
        <v>COUNTY SHOP ROAD TO MINERVA STREET</v>
      </c>
      <c r="I332" s="3" t="str">
        <f>CLEAN("CONST/RECONSTRUCT ROADWAY B-33-0007")</f>
        <v>CONST/RECONSTRUCT ROADWAY B-33-0007</v>
      </c>
      <c r="J332" s="3">
        <v>1.4890000000000001</v>
      </c>
    </row>
    <row r="333" spans="1:10" x14ac:dyDescent="0.25">
      <c r="A333" s="3" t="str">
        <f>CLEAN("LAFAYETTE")</f>
        <v>LAFAYETTE</v>
      </c>
      <c r="B333" s="6" t="str">
        <f>CLEAN("5245-02-02")</f>
        <v>5245-02-02</v>
      </c>
      <c r="C333" s="6" t="str">
        <f>CLEAN("5245-02-75")</f>
        <v>5245-02-75</v>
      </c>
      <c r="D333" s="6">
        <v>2021</v>
      </c>
      <c r="E333" s="6" t="str">
        <f>CLEAN("STH-023")</f>
        <v>STH-023</v>
      </c>
      <c r="F333" s="4">
        <v>44145</v>
      </c>
      <c r="G333" s="3" t="str">
        <f>CLEAN("STH 11 - MINERAL POINT")</f>
        <v>STH 11 - MINERAL POINT</v>
      </c>
      <c r="H333" s="3" t="str">
        <f>CLEAN("COUNTY SHOP ROAD TO MINERVA STREET")</f>
        <v>COUNTY SHOP ROAD TO MINERVA STREET</v>
      </c>
      <c r="I333" s="3" t="str">
        <f>CLEAN("CONST/ WATER MAIN &amp; SANITARY SEWER")</f>
        <v>CONST/ WATER MAIN &amp; SANITARY SEWER</v>
      </c>
      <c r="J333" s="3">
        <v>1.4750000000000001</v>
      </c>
    </row>
    <row r="334" spans="1:10" x14ac:dyDescent="0.25">
      <c r="A334" s="3" t="str">
        <f>CLEAN("LAFAYETTE")</f>
        <v>LAFAYETTE</v>
      </c>
      <c r="B334" s="6" t="str">
        <f>CLEAN("5590-01-00")</f>
        <v>5590-01-00</v>
      </c>
      <c r="C334" s="6" t="str">
        <f>CLEAN("5590-01-70")</f>
        <v>5590-01-70</v>
      </c>
      <c r="D334" s="6">
        <v>2022</v>
      </c>
      <c r="E334" s="6" t="str">
        <f>CLEAN("STH-078")</f>
        <v>STH-078</v>
      </c>
      <c r="F334" s="4">
        <v>44544</v>
      </c>
      <c r="G334" s="3" t="str">
        <f>CLEAN("ARGYLE - MT HOREB")</f>
        <v>ARGYLE - MT HOREB</v>
      </c>
      <c r="H334" s="3" t="str">
        <f>CLEAN("V ARGYLE N LIMIT TO LIEN COURT")</f>
        <v>V ARGYLE N LIMIT TO LIEN COURT</v>
      </c>
      <c r="I334" s="3" t="str">
        <f>CLEAN("CONST/ MILL AND OVERLAY")</f>
        <v>CONST/ MILL AND OVERLAY</v>
      </c>
      <c r="J334" s="3">
        <v>7.0229999999999997</v>
      </c>
    </row>
    <row r="335" spans="1:10" x14ac:dyDescent="0.25">
      <c r="A335" s="3" t="str">
        <f>CLEAN("LAFAYETTE")</f>
        <v>LAFAYETTE</v>
      </c>
      <c r="B335" s="6" t="str">
        <f>CLEAN("5944-04-03")</f>
        <v>5944-04-03</v>
      </c>
      <c r="C335" s="6" t="str">
        <f>CLEAN("5944-04-73")</f>
        <v>5944-04-73</v>
      </c>
      <c r="D335" s="6">
        <v>2022</v>
      </c>
      <c r="E335" s="6" t="str">
        <f>CLEAN("STH-081")</f>
        <v>STH-081</v>
      </c>
      <c r="F335" s="4">
        <v>44572</v>
      </c>
      <c r="G335" s="3" t="str">
        <f>CLEAN("DARLINGTON - ARGYLE")</f>
        <v>DARLINGTON - ARGYLE</v>
      </c>
      <c r="H335" s="3" t="str">
        <f>CLEAN("WILDCAT ROAD TO S JCT STH 78")</f>
        <v>WILDCAT ROAD TO S JCT STH 78</v>
      </c>
      <c r="I335" s="3" t="str">
        <f>CLEAN("CONST/ MILL AND OVERLAY")</f>
        <v>CONST/ MILL AND OVERLAY</v>
      </c>
      <c r="J335" s="3">
        <v>14.195</v>
      </c>
    </row>
    <row r="336" spans="1:10" x14ac:dyDescent="0.25">
      <c r="A336" s="3" t="str">
        <f>CLEAN("LAFAYETTE")</f>
        <v>LAFAYETTE</v>
      </c>
      <c r="B336" s="6" t="str">
        <f>CLEAN("5967-01-00")</f>
        <v>5967-01-00</v>
      </c>
      <c r="C336" s="6" t="str">
        <f>CLEAN("5967-01-70")</f>
        <v>5967-01-70</v>
      </c>
      <c r="D336" s="6">
        <v>2023</v>
      </c>
      <c r="E336" s="6" t="str">
        <f>CLEAN("STH-126")</f>
        <v>STH-126</v>
      </c>
      <c r="F336" s="4">
        <v>44782</v>
      </c>
      <c r="G336" s="3" t="str">
        <f>CLEAN("STH 81 - BELMONT")</f>
        <v>STH 81 - BELMONT</v>
      </c>
      <c r="H336" s="3" t="str">
        <f>CLEAN("STH 81 TO CTH G")</f>
        <v>STH 81 TO CTH G</v>
      </c>
      <c r="I336" s="3" t="str">
        <f>CLEAN("CONST/ MILL AND OVERLAY")</f>
        <v>CONST/ MILL AND OVERLAY</v>
      </c>
      <c r="J336" s="3">
        <v>4.6100000000000003</v>
      </c>
    </row>
    <row r="337" spans="1:10" x14ac:dyDescent="0.25">
      <c r="A337" s="3" t="str">
        <f>CLEAN("LAFAYETTE")</f>
        <v>LAFAYETTE</v>
      </c>
      <c r="B337" s="6" t="str">
        <f>CLEAN("5245-02-06")</f>
        <v>5245-02-06</v>
      </c>
      <c r="C337" s="6" t="str">
        <f>CLEAN("5245-02-76")</f>
        <v>5245-02-76</v>
      </c>
      <c r="D337" s="6">
        <v>2023</v>
      </c>
      <c r="E337" s="6" t="str">
        <f>CLEAN("STH-023")</f>
        <v>STH-023</v>
      </c>
      <c r="F337" s="4">
        <v>44873</v>
      </c>
      <c r="G337" s="3" t="str">
        <f>CLEAN("STH 11 - MINERAL POINT")</f>
        <v>STH 11 - MINERAL POINT</v>
      </c>
      <c r="H337" s="3" t="str">
        <f>CLEAN("MINERVA STREET TO WATER STREET")</f>
        <v>MINERVA STREET TO WATER STREET</v>
      </c>
      <c r="I337" s="3" t="str">
        <f>CLEAN("CONST/ MILL AND OVERLAY")</f>
        <v>CONST/ MILL AND OVERLAY</v>
      </c>
      <c r="J337" s="3">
        <v>13.628</v>
      </c>
    </row>
    <row r="338" spans="1:10" x14ac:dyDescent="0.25">
      <c r="A338" s="3" t="str">
        <f>CLEAN("LAFAYETTE")</f>
        <v>LAFAYETTE</v>
      </c>
      <c r="B338" s="6" t="str">
        <f>CLEAN("5590-00-02")</f>
        <v>5590-00-02</v>
      </c>
      <c r="C338" s="6" t="str">
        <f>CLEAN("5590-00-72")</f>
        <v>5590-00-72</v>
      </c>
      <c r="D338" s="6">
        <v>2025</v>
      </c>
      <c r="E338" s="6" t="str">
        <f>CLEAN("STH-078")</f>
        <v>STH-078</v>
      </c>
      <c r="F338" s="4">
        <v>45608</v>
      </c>
      <c r="G338" s="3" t="str">
        <f>CLEAN("WARREN - ARGYLE")</f>
        <v>WARREN - ARGYLE</v>
      </c>
      <c r="H338" s="3" t="str">
        <f>CLEAN("STH 11 TO CTH D")</f>
        <v>STH 11 TO CTH D</v>
      </c>
      <c r="I338" s="3" t="str">
        <f>CLEAN("CONST/ MILL AND OVERLAY")</f>
        <v>CONST/ MILL AND OVERLAY</v>
      </c>
      <c r="J338" s="3">
        <v>6.45</v>
      </c>
    </row>
    <row r="339" spans="1:10" x14ac:dyDescent="0.25">
      <c r="A339" s="3" t="str">
        <f>CLEAN("LAFAYETTE")</f>
        <v>LAFAYETTE</v>
      </c>
      <c r="B339" s="6" t="str">
        <f>CLEAN("1706-03-00")</f>
        <v>1706-03-00</v>
      </c>
      <c r="C339" s="6" t="str">
        <f>CLEAN("1706-03-80")</f>
        <v>1706-03-80</v>
      </c>
      <c r="D339" s="6">
        <v>2025</v>
      </c>
      <c r="E339" s="6" t="str">
        <f>CLEAN("STH-011")</f>
        <v>STH-011</v>
      </c>
      <c r="F339" s="4">
        <v>45636</v>
      </c>
      <c r="G339" s="3" t="str">
        <f>CLEAN("SHULLSBURG - MONROE")</f>
        <v>SHULLSBURG - MONROE</v>
      </c>
      <c r="H339" s="3" t="str">
        <f>CLEAN("SHULLSBURG BRANCH BRIDGES")</f>
        <v>SHULLSBURG BRANCH BRIDGES</v>
      </c>
      <c r="I339" s="3" t="str">
        <f>CLEAN("CONST/ REPLACEMENTS B-33-XXX  -XXX")</f>
        <v>CONST/ REPLACEMENTS B-33-XXX  -XXX</v>
      </c>
      <c r="J339" s="3">
        <v>6.4000000000000001E-2</v>
      </c>
    </row>
    <row r="340" spans="1:10" x14ac:dyDescent="0.25">
      <c r="A340" s="3" t="str">
        <f>CLEAN("LAFAYETTE")</f>
        <v>LAFAYETTE</v>
      </c>
      <c r="B340" s="6" t="str">
        <f>CLEAN("5944-04-04")</f>
        <v>5944-04-04</v>
      </c>
      <c r="C340" s="6" t="str">
        <f>CLEAN("5944-04-74")</f>
        <v>5944-04-74</v>
      </c>
      <c r="D340" s="6">
        <v>2026</v>
      </c>
      <c r="E340" s="6" t="str">
        <f>CLEAN("STH-081")</f>
        <v>STH-081</v>
      </c>
      <c r="F340" s="4">
        <v>46000</v>
      </c>
      <c r="G340" s="3" t="str">
        <f>CLEAN("DARLINGTON - ARGYLE")</f>
        <v>DARLINGTON - ARGYLE</v>
      </c>
      <c r="H340" s="3" t="str">
        <f>CLEAN("STH 23 TO WILDCAT ROAD")</f>
        <v>STH 23 TO WILDCAT ROAD</v>
      </c>
      <c r="I340" s="3" t="str">
        <f>CLEAN("CONST/ MILL AND OVERLAY")</f>
        <v>CONST/ MILL AND OVERLAY</v>
      </c>
      <c r="J340" s="3">
        <v>0.65</v>
      </c>
    </row>
    <row r="341" spans="1:10" x14ac:dyDescent="0.25">
      <c r="A341" s="3"/>
      <c r="B341" s="6"/>
      <c r="C341" s="6"/>
      <c r="D341" s="6"/>
      <c r="E341" s="6"/>
      <c r="F341" s="4"/>
      <c r="G341" s="3"/>
      <c r="H341" s="3"/>
      <c r="I341" s="3"/>
      <c r="J341" s="3"/>
    </row>
    <row r="342" spans="1:10" x14ac:dyDescent="0.25">
      <c r="A342" s="3" t="str">
        <f>CLEAN("MONROE")</f>
        <v>MONROE</v>
      </c>
      <c r="B342" s="6" t="str">
        <f>CLEAN("7020-02-61")</f>
        <v>7020-02-61</v>
      </c>
      <c r="C342" s="6" t="str">
        <f>CLEAN("7020-02-61")</f>
        <v>7020-02-61</v>
      </c>
      <c r="D342" s="6">
        <v>2020</v>
      </c>
      <c r="E342" s="6" t="str">
        <f>CLEAN("STH-173")</f>
        <v>STH-173</v>
      </c>
      <c r="F342" s="4">
        <v>43855</v>
      </c>
      <c r="G342" s="3" t="str">
        <f>CLEAN("WYEVILLE - BABCOCK")</f>
        <v>WYEVILLE - BABCOCK</v>
      </c>
      <c r="H342" s="3" t="str">
        <f>CLEAN("STH 21 TO EAST COUNTY LINE")</f>
        <v>STH 21 TO EAST COUNTY LINE</v>
      </c>
      <c r="I342" s="3" t="str">
        <f>CLEAN("LFA/REPLACE PIPES")</f>
        <v>LFA/REPLACE PIPES</v>
      </c>
      <c r="J342" s="3">
        <v>9.3699999999999992</v>
      </c>
    </row>
    <row r="343" spans="1:10" x14ac:dyDescent="0.25">
      <c r="A343" s="3" t="str">
        <f>CLEAN("MONROE")</f>
        <v>MONROE</v>
      </c>
      <c r="B343" s="6" t="str">
        <f>CLEAN("1023-06-02")</f>
        <v>1023-06-02</v>
      </c>
      <c r="C343" s="6" t="str">
        <f>CLEAN("1023-06-72")</f>
        <v>1023-06-72</v>
      </c>
      <c r="D343" s="6">
        <v>2020</v>
      </c>
      <c r="E343" s="6" t="str">
        <f>CLEAN("IH -094")</f>
        <v>IH -094</v>
      </c>
      <c r="F343" s="4">
        <v>43872</v>
      </c>
      <c r="G343" s="3" t="str">
        <f>CLEAN("BLACK RIVER FALLS - TOMAH")</f>
        <v>BLACK RIVER FALLS - TOMAH</v>
      </c>
      <c r="H343" s="3" t="str">
        <f>CLEAN("B-41-0062  0064  0066  &amp; 0068")</f>
        <v>B-41-0062  0064  0066  &amp; 0068</v>
      </c>
      <c r="I343" s="3" t="str">
        <f>CLEAN("CONST OPS/CONC DK OVERLAYS/PAINT")</f>
        <v>CONST OPS/CONC DK OVERLAYS/PAINT</v>
      </c>
      <c r="J343" s="3">
        <v>0</v>
      </c>
    </row>
    <row r="344" spans="1:10" x14ac:dyDescent="0.25">
      <c r="A344" s="3" t="str">
        <f>CLEAN("MONROE")</f>
        <v>MONROE</v>
      </c>
      <c r="B344" s="6" t="str">
        <f>CLEAN("1023-06-36")</f>
        <v>1023-06-36</v>
      </c>
      <c r="C344" s="6" t="str">
        <f>CLEAN("1023-06-66")</f>
        <v>1023-06-66</v>
      </c>
      <c r="D344" s="6">
        <v>2020</v>
      </c>
      <c r="E344" s="6" t="str">
        <f>CLEAN("IH -094")</f>
        <v>IH -094</v>
      </c>
      <c r="F344" s="4">
        <v>43963</v>
      </c>
      <c r="G344" s="3" t="str">
        <f>CLEAN("BLACK RIVER FALLS - TOMAH")</f>
        <v>BLACK RIVER FALLS - TOMAH</v>
      </c>
      <c r="H344" s="3" t="str">
        <f>CLEAN("US 12 MILL CR EMPIRE AV B41-284-289")</f>
        <v>US 12 MILL CR EMPIRE AV B41-284-289</v>
      </c>
      <c r="I344" s="3" t="str">
        <f>CLEAN("CONST/THIN POLYMER DECK OVERLAYS")</f>
        <v>CONST/THIN POLYMER DECK OVERLAYS</v>
      </c>
      <c r="J344" s="3">
        <v>6.7000000000000004E-2</v>
      </c>
    </row>
    <row r="345" spans="1:10" x14ac:dyDescent="0.25">
      <c r="A345" s="3" t="str">
        <f>CLEAN("MONROE")</f>
        <v>MONROE</v>
      </c>
      <c r="B345" s="6" t="str">
        <f>CLEAN("1074-00-01")</f>
        <v>1074-00-01</v>
      </c>
      <c r="C345" s="6" t="str">
        <f>CLEAN("1074-00-71")</f>
        <v>1074-00-71</v>
      </c>
      <c r="D345" s="6">
        <v>2022</v>
      </c>
      <c r="E345" s="6" t="str">
        <f>CLEAN("IH -090")</f>
        <v>IH -090</v>
      </c>
      <c r="F345" s="4">
        <v>44509</v>
      </c>
      <c r="G345" s="3" t="str">
        <f>CLEAN("LA CROSSE - SPARTA")</f>
        <v>LA CROSSE - SPARTA</v>
      </c>
      <c r="H345" s="3" t="str">
        <f>CLEAN("STH 27 INTERCHANGE AREA")</f>
        <v>STH 27 INTERCHANGE AREA</v>
      </c>
      <c r="I345" s="3" t="str">
        <f>CLEAN("CONST/MILL &amp; OVERLAY")</f>
        <v>CONST/MILL &amp; OVERLAY</v>
      </c>
      <c r="J345" s="3">
        <v>0.876</v>
      </c>
    </row>
    <row r="346" spans="1:10" x14ac:dyDescent="0.25">
      <c r="A346" s="3" t="str">
        <f>CLEAN("MONROE")</f>
        <v>MONROE</v>
      </c>
      <c r="B346" s="6" t="str">
        <f>CLEAN("1077-02-04")</f>
        <v>1077-02-04</v>
      </c>
      <c r="C346" s="6" t="str">
        <f>CLEAN("1077-02-74")</f>
        <v>1077-02-74</v>
      </c>
      <c r="D346" s="6">
        <v>2022</v>
      </c>
      <c r="E346" s="6" t="str">
        <f>CLEAN("IH -090")</f>
        <v>IH -090</v>
      </c>
      <c r="F346" s="4">
        <v>44509</v>
      </c>
      <c r="G346" s="3" t="str">
        <f>CLEAN("SPARTA - TOMAH")</f>
        <v>SPARTA - TOMAH</v>
      </c>
      <c r="H346" s="3" t="str">
        <f>CLEAN("STH 16 INTERCHANGE AREA &amp; B-41-91")</f>
        <v>STH 16 INTERCHANGE AREA &amp; B-41-91</v>
      </c>
      <c r="I346" s="3" t="str">
        <f>CLEAN("CONST/REPLACE PAV'T/O'LAY")</f>
        <v>CONST/REPLACE PAV'T/O'LAY</v>
      </c>
      <c r="J346" s="3">
        <v>1.6020000000000001</v>
      </c>
    </row>
    <row r="347" spans="1:10" x14ac:dyDescent="0.25">
      <c r="A347" s="3" t="str">
        <f>CLEAN("MONROE")</f>
        <v>MONROE</v>
      </c>
      <c r="B347" s="6" t="str">
        <f>CLEAN("5140-05-30")</f>
        <v>5140-05-30</v>
      </c>
      <c r="C347" s="6" t="str">
        <f>CLEAN("5140-05-60")</f>
        <v>5140-05-60</v>
      </c>
      <c r="D347" s="6">
        <v>2022</v>
      </c>
      <c r="E347" s="6" t="str">
        <f>CLEAN("STH-027")</f>
        <v>STH-027</v>
      </c>
      <c r="F347" s="4">
        <v>44509</v>
      </c>
      <c r="G347" s="3" t="str">
        <f>CLEAN("CASHTON - SPARTA")</f>
        <v>CASHTON - SPARTA</v>
      </c>
      <c r="H347" s="3" t="str">
        <f>CLEAN("CP RR &amp; LA CROSSE R BRGS B-41-11/12")</f>
        <v>CP RR &amp; LA CROSSE R BRGS B-41-11/12</v>
      </c>
      <c r="I347" s="3" t="str">
        <f>CLEAN("CONST/ CONCRETE OVERLAYS")</f>
        <v>CONST/ CONCRETE OVERLAYS</v>
      </c>
      <c r="J347" s="3">
        <v>0.46</v>
      </c>
    </row>
    <row r="348" spans="1:10" x14ac:dyDescent="0.25">
      <c r="A348" s="3" t="str">
        <f>CLEAN("MONROE")</f>
        <v>MONROE</v>
      </c>
      <c r="B348" s="6" t="str">
        <f>CLEAN("1017-01-03")</f>
        <v>1017-01-03</v>
      </c>
      <c r="C348" s="6" t="str">
        <f>CLEAN("1017-01-71")</f>
        <v>1017-01-71</v>
      </c>
      <c r="D348" s="6">
        <v>2023</v>
      </c>
      <c r="E348" s="6" t="str">
        <f>CLEAN("IH -090")</f>
        <v>IH -090</v>
      </c>
      <c r="F348" s="4">
        <v>44873</v>
      </c>
      <c r="G348" s="3" t="str">
        <f>CLEAN("TOMAH - CAMP DOUGLAS  EB")</f>
        <v>TOMAH - CAMP DOUGLAS  EB</v>
      </c>
      <c r="H348" s="3" t="str">
        <f>CLEAN("USH 12 TO CTH C // PREP")</f>
        <v>USH 12 TO CTH C // PREP</v>
      </c>
      <c r="I348" s="3" t="str">
        <f>CLEAN("CONST/X-OVERS/SHLDRS FOR 1017-01-73")</f>
        <v>CONST/X-OVERS/SHLDRS FOR 1017-01-73</v>
      </c>
      <c r="J348" s="3">
        <v>15.742000000000001</v>
      </c>
    </row>
    <row r="349" spans="1:10" x14ac:dyDescent="0.25">
      <c r="A349" s="3" t="str">
        <f>CLEAN("MONROE")</f>
        <v>MONROE</v>
      </c>
      <c r="B349" s="6" t="str">
        <f>CLEAN("5130-00-00")</f>
        <v>5130-00-00</v>
      </c>
      <c r="C349" s="6" t="str">
        <f>CLEAN("5130-00-80")</f>
        <v>5130-00-80</v>
      </c>
      <c r="D349" s="6">
        <v>2023</v>
      </c>
      <c r="E349" s="6" t="str">
        <f>CLEAN("STH-071")</f>
        <v>STH-071</v>
      </c>
      <c r="F349" s="4">
        <v>44873</v>
      </c>
      <c r="G349" s="3" t="str">
        <f>CLEAN("WILTON - ELROY")</f>
        <v>WILTON - ELROY</v>
      </c>
      <c r="H349" s="3" t="str">
        <f>CLEAN("KICKAPOO RIVER BRIDGE B-41-303")</f>
        <v>KICKAPOO RIVER BRIDGE B-41-303</v>
      </c>
      <c r="I349" s="3" t="str">
        <f>CLEAN("CONST/ BRIDGE REPLACEMENT")</f>
        <v>CONST/ BRIDGE REPLACEMENT</v>
      </c>
      <c r="J349" s="3">
        <v>0.186</v>
      </c>
    </row>
    <row r="350" spans="1:10" x14ac:dyDescent="0.25">
      <c r="A350" s="3" t="str">
        <f>CLEAN("MONROE")</f>
        <v>MONROE</v>
      </c>
      <c r="B350" s="6" t="str">
        <f>CLEAN("7998-00-07")</f>
        <v>7998-00-07</v>
      </c>
      <c r="C350" s="6" t="str">
        <f>CLEAN("7998-00-77")</f>
        <v>7998-00-77</v>
      </c>
      <c r="D350" s="6">
        <v>2023</v>
      </c>
      <c r="E350" s="6" t="str">
        <f>CLEAN("USH-012")</f>
        <v>USH-012</v>
      </c>
      <c r="F350" s="4">
        <v>44908</v>
      </c>
      <c r="G350" s="3" t="str">
        <f>CLEAN("TOMAH - MAUSTON")</f>
        <v>TOMAH - MAUSTON</v>
      </c>
      <c r="H350" s="3" t="str">
        <f>CLEAN("VETERANS STREET INTERSECTION AREA")</f>
        <v>VETERANS STREET INTERSECTION AREA</v>
      </c>
      <c r="I350" s="3" t="str">
        <f>CLEAN("CONST/ PAV'T REPLACE")</f>
        <v>CONST/ PAV'T REPLACE</v>
      </c>
      <c r="J350" s="3">
        <v>0.157</v>
      </c>
    </row>
    <row r="351" spans="1:10" x14ac:dyDescent="0.25">
      <c r="A351" s="3" t="str">
        <f>CLEAN("MONROE")</f>
        <v>MONROE</v>
      </c>
      <c r="B351" s="6" t="str">
        <f>CLEAN("7998-00-07")</f>
        <v>7998-00-07</v>
      </c>
      <c r="C351" s="6" t="str">
        <f>CLEAN("7998-00-78")</f>
        <v>7998-00-78</v>
      </c>
      <c r="D351" s="6">
        <v>2023</v>
      </c>
      <c r="E351" s="6" t="str">
        <f>CLEAN("USH-012")</f>
        <v>USH-012</v>
      </c>
      <c r="F351" s="4">
        <v>44908</v>
      </c>
      <c r="G351" s="3" t="str">
        <f>CLEAN("TOMAH - MAUSTON")</f>
        <v>TOMAH - MAUSTON</v>
      </c>
      <c r="H351" s="3" t="str">
        <f>CLEAN("VETERANS STREET INTERSECTION AREA")</f>
        <v>VETERANS STREET INTERSECTION AREA</v>
      </c>
      <c r="I351" s="3" t="str">
        <f>CLEAN("CONST/WATER MAIN &amp; SANITARY SEWER")</f>
        <v>CONST/WATER MAIN &amp; SANITARY SEWER</v>
      </c>
      <c r="J351" s="3">
        <v>0.157</v>
      </c>
    </row>
    <row r="352" spans="1:10" x14ac:dyDescent="0.25">
      <c r="A352" s="3" t="str">
        <f>CLEAN("MONROE")</f>
        <v>MONROE</v>
      </c>
      <c r="B352" s="6" t="str">
        <f>CLEAN("7062-02-03")</f>
        <v>7062-02-03</v>
      </c>
      <c r="C352" s="6" t="str">
        <f>CLEAN("7062-02-73")</f>
        <v>7062-02-73</v>
      </c>
      <c r="D352" s="6">
        <v>2023</v>
      </c>
      <c r="E352" s="6" t="str">
        <f>CLEAN("STH-027")</f>
        <v>STH-027</v>
      </c>
      <c r="F352" s="4">
        <v>44971</v>
      </c>
      <c r="G352" s="3" t="str">
        <f>CLEAN("SPARTA - BLACK RIVER FALLS")</f>
        <v>SPARTA - BLACK RIVER FALLS</v>
      </c>
      <c r="H352" s="3" t="str">
        <f>CLEAN("SPARTA N CITY LIMITS TO N COUNTY LN")</f>
        <v>SPARTA N CITY LIMITS TO N COUNTY LN</v>
      </c>
      <c r="I352" s="3" t="str">
        <f>CLEAN("CONST/WIDEN PVD SHLDRS/RUMBLE STRIP")</f>
        <v>CONST/WIDEN PVD SHLDRS/RUMBLE STRIP</v>
      </c>
      <c r="J352" s="3">
        <v>15.557</v>
      </c>
    </row>
    <row r="353" spans="1:10" x14ac:dyDescent="0.25">
      <c r="A353" s="3" t="str">
        <f>CLEAN("MONROE")</f>
        <v>MONROE</v>
      </c>
      <c r="B353" s="6" t="str">
        <f>CLEAN("1017-01-03")</f>
        <v>1017-01-03</v>
      </c>
      <c r="C353" s="6" t="str">
        <f>CLEAN("1017-01-73")</f>
        <v>1017-01-73</v>
      </c>
      <c r="D353" s="6">
        <v>2024</v>
      </c>
      <c r="E353" s="6" t="str">
        <f>CLEAN("IH -090")</f>
        <v>IH -090</v>
      </c>
      <c r="F353" s="4">
        <v>45244</v>
      </c>
      <c r="G353" s="3" t="str">
        <f>CLEAN("TOMAH - CAMP DOUGLAS  EB")</f>
        <v>TOMAH - CAMP DOUGLAS  EB</v>
      </c>
      <c r="H353" s="3" t="str">
        <f>CLEAN("USH 12 TO CTH C")</f>
        <v>USH 12 TO CTH C</v>
      </c>
      <c r="I353" s="3" t="str">
        <f>CLEAN("CONST/MILL &amp; OVERLAY EB RDWY")</f>
        <v>CONST/MILL &amp; OVERLAY EB RDWY</v>
      </c>
      <c r="J353" s="3">
        <v>15.773</v>
      </c>
    </row>
    <row r="354" spans="1:10" x14ac:dyDescent="0.25">
      <c r="A354" s="3" t="str">
        <f>CLEAN("MONROE")</f>
        <v>MONROE</v>
      </c>
      <c r="B354" s="6" t="str">
        <f>CLEAN("5880-00-05")</f>
        <v>5880-00-05</v>
      </c>
      <c r="C354" s="6" t="str">
        <f>CLEAN("5880-00-75")</f>
        <v>5880-00-75</v>
      </c>
      <c r="D354" s="6">
        <v>2024</v>
      </c>
      <c r="E354" s="6" t="str">
        <f>CLEAN("USH-012")</f>
        <v>USH-012</v>
      </c>
      <c r="F354" s="4">
        <v>45244</v>
      </c>
      <c r="G354" s="3" t="str">
        <f>CLEAN("TOMAH - MAUSTON")</f>
        <v>TOMAH - MAUSTON</v>
      </c>
      <c r="H354" s="3" t="str">
        <f>CLEAN("GRANT AVENUE TO E COUNTY LINE")</f>
        <v>GRANT AVENUE TO E COUNTY LINE</v>
      </c>
      <c r="I354" s="3" t="str">
        <f>CLEAN("CONST/RESURFACE  B-41-147  C-41-140")</f>
        <v>CONST/RESURFACE  B-41-147  C-41-140</v>
      </c>
      <c r="J354" s="3">
        <v>8.11</v>
      </c>
    </row>
    <row r="355" spans="1:10" x14ac:dyDescent="0.25">
      <c r="A355" s="3" t="str">
        <f>CLEAN("MONROE")</f>
        <v>MONROE</v>
      </c>
      <c r="B355" s="6" t="str">
        <f>CLEAN("7605-06-32")</f>
        <v>7605-06-32</v>
      </c>
      <c r="C355" s="6" t="str">
        <f>CLEAN("7605-06-62")</f>
        <v>7605-06-62</v>
      </c>
      <c r="D355" s="6">
        <v>2024</v>
      </c>
      <c r="E355" s="6" t="str">
        <f>CLEAN("STH-021")</f>
        <v>STH-021</v>
      </c>
      <c r="F355" s="4">
        <v>45244</v>
      </c>
      <c r="G355" s="3" t="str">
        <f>CLEAN("SPARTA - TOMAH")</f>
        <v>SPARTA - TOMAH</v>
      </c>
      <c r="H355" s="3" t="str">
        <f>CLEAN("C SPARTA E LIMIT TO EMERSON ROAD")</f>
        <v>C SPARTA E LIMIT TO EMERSON ROAD</v>
      </c>
      <c r="I355" s="3" t="str">
        <f>CLEAN("CONST/ MILL AND OVERLAY")</f>
        <v>CONST/ MILL AND OVERLAY</v>
      </c>
      <c r="J355" s="3">
        <v>15.7</v>
      </c>
    </row>
    <row r="356" spans="1:10" x14ac:dyDescent="0.25">
      <c r="A356" s="3" t="str">
        <f>CLEAN("MONROE")</f>
        <v>MONROE</v>
      </c>
      <c r="B356" s="6" t="str">
        <f>CLEAN("5510-00-00")</f>
        <v>5510-00-00</v>
      </c>
      <c r="C356" s="6" t="str">
        <f>CLEAN("5510-00-70")</f>
        <v>5510-00-70</v>
      </c>
      <c r="D356" s="6">
        <v>2025</v>
      </c>
      <c r="E356" s="6" t="str">
        <f>CLEAN("STH-071")</f>
        <v>STH-071</v>
      </c>
      <c r="F356" s="4">
        <v>45608</v>
      </c>
      <c r="G356" s="3" t="str">
        <f>CLEAN("SPARTA - ELROY")</f>
        <v>SPARTA - ELROY</v>
      </c>
      <c r="H356" s="3" t="str">
        <f>CLEAN("CTH U TO CTH V")</f>
        <v>CTH U TO CTH V</v>
      </c>
      <c r="I356" s="3" t="str">
        <f>CLEAN("CONST/ MILL AND OVERLAY")</f>
        <v>CONST/ MILL AND OVERLAY</v>
      </c>
      <c r="J356" s="3">
        <v>11.343</v>
      </c>
    </row>
    <row r="357" spans="1:10" x14ac:dyDescent="0.25">
      <c r="A357" s="3"/>
      <c r="B357" s="6"/>
      <c r="C357" s="6"/>
      <c r="D357" s="6"/>
      <c r="E357" s="6"/>
      <c r="F357" s="4"/>
      <c r="G357" s="3"/>
      <c r="H357" s="3"/>
      <c r="I357" s="3"/>
      <c r="J357" s="3"/>
    </row>
    <row r="358" spans="1:10" x14ac:dyDescent="0.25">
      <c r="A358" s="3" t="str">
        <f>CLEAN("RICHLAND")</f>
        <v>RICHLAND</v>
      </c>
      <c r="B358" s="6" t="str">
        <f>CLEAN("5730-00-30")</f>
        <v>5730-00-30</v>
      </c>
      <c r="C358" s="6" t="str">
        <f>CLEAN("5730-00-60")</f>
        <v>5730-00-60</v>
      </c>
      <c r="D358" s="6">
        <v>2020</v>
      </c>
      <c r="E358" s="6" t="str">
        <f>CLEAN("STH-056")</f>
        <v>STH-056</v>
      </c>
      <c r="F358" s="4">
        <v>43872</v>
      </c>
      <c r="G358" s="3" t="str">
        <f>CLEAN("VIROQUA - RICHLAND CENTER")</f>
        <v>VIROQUA - RICHLAND CENTER</v>
      </c>
      <c r="H358" s="3" t="str">
        <f>CLEAN("CAMP CREEK BRIDGE TO STH 80")</f>
        <v>CAMP CREEK BRIDGE TO STH 80</v>
      </c>
      <c r="I358" s="3" t="str">
        <f>CLEAN("CONST OPS/MILL &amp; OVERLAY/B-52-35 84")</f>
        <v>CONST OPS/MILL &amp; OVERLAY/B-52-35 84</v>
      </c>
      <c r="J358" s="3">
        <v>15.170999999999999</v>
      </c>
    </row>
    <row r="359" spans="1:10" x14ac:dyDescent="0.25">
      <c r="A359" s="3" t="str">
        <f>CLEAN("RICHLAND")</f>
        <v>RICHLAND</v>
      </c>
      <c r="B359" s="6" t="str">
        <f>CLEAN("5770-01-31")</f>
        <v>5770-01-31</v>
      </c>
      <c r="C359" s="6" t="str">
        <f>CLEAN("5770-01-61")</f>
        <v>5770-01-61</v>
      </c>
      <c r="D359" s="6">
        <v>2020</v>
      </c>
      <c r="E359" s="6" t="str">
        <f>CLEAN("STH-130")</f>
        <v>STH-130</v>
      </c>
      <c r="F359" s="4">
        <v>43872</v>
      </c>
      <c r="G359" s="3" t="str">
        <f>CLEAN("STH 23 - LONE ROCK")</f>
        <v>STH 23 - LONE ROCK</v>
      </c>
      <c r="H359" s="3" t="str">
        <f>CLEAN("WI R BDGS B-25-81 B-52-856 B-52-857")</f>
        <v>WI R BDGS B-25-81 B-52-856 B-52-857</v>
      </c>
      <c r="I359" s="3" t="str">
        <f>CLEAN("CONST/ BRIDGE REPAIRS")</f>
        <v>CONST/ BRIDGE REPAIRS</v>
      </c>
      <c r="J359" s="3">
        <v>0.105</v>
      </c>
    </row>
    <row r="360" spans="1:10" x14ac:dyDescent="0.25">
      <c r="A360" s="3" t="str">
        <f>CLEAN("RICHLAND")</f>
        <v>RICHLAND</v>
      </c>
      <c r="B360" s="6" t="str">
        <f>CLEAN("1640-01-03")</f>
        <v>1640-01-03</v>
      </c>
      <c r="C360" s="6" t="str">
        <f>CLEAN("1640-01-73")</f>
        <v>1640-01-73</v>
      </c>
      <c r="D360" s="6">
        <v>2020</v>
      </c>
      <c r="E360" s="6" t="str">
        <f>CLEAN("USH-014")</f>
        <v>USH-014</v>
      </c>
      <c r="F360" s="4">
        <v>44026</v>
      </c>
      <c r="G360" s="3" t="str">
        <f>CLEAN("RICHLAND CENTER - SPRING GREEN")</f>
        <v>RICHLAND CENTER - SPRING GREEN</v>
      </c>
      <c r="H360" s="3" t="str">
        <f>CLEAN("EAST JUNCTION STH 130")</f>
        <v>EAST JUNCTION STH 130</v>
      </c>
      <c r="I360" s="3" t="str">
        <f>CLEAN("CONST/LEFT TURN LANE")</f>
        <v>CONST/LEFT TURN LANE</v>
      </c>
      <c r="J360" s="3">
        <v>0.63900000000000001</v>
      </c>
    </row>
    <row r="361" spans="1:10" x14ac:dyDescent="0.25">
      <c r="A361" s="3" t="str">
        <f>CLEAN("RICHLAND")</f>
        <v>RICHLAND</v>
      </c>
      <c r="B361" s="6" t="str">
        <f>CLEAN("5550-01-30")</f>
        <v>5550-01-30</v>
      </c>
      <c r="C361" s="6" t="str">
        <f>CLEAN("5550-01-60")</f>
        <v>5550-01-60</v>
      </c>
      <c r="D361" s="6">
        <v>2021</v>
      </c>
      <c r="E361" s="6" t="str">
        <f>CLEAN("STH-080")</f>
        <v>STH-080</v>
      </c>
      <c r="F361" s="4">
        <v>44173</v>
      </c>
      <c r="G361" s="3" t="str">
        <f>CLEAN("AVOCA - RICHLAND CENTER")</f>
        <v>AVOCA - RICHLAND CENTER</v>
      </c>
      <c r="H361" s="3" t="str">
        <f>CLEAN("WISCONSIN RIVER BRIDGE TO CTH RC")</f>
        <v>WISCONSIN RIVER BRIDGE TO CTH RC</v>
      </c>
      <c r="I361" s="3" t="str">
        <f>CLEAN("CONST/ MILL AND OVERLAY")</f>
        <v>CONST/ MILL AND OVERLAY</v>
      </c>
      <c r="J361" s="3">
        <v>9.7859999999999996</v>
      </c>
    </row>
    <row r="362" spans="1:10" x14ac:dyDescent="0.25">
      <c r="A362" s="3" t="str">
        <f>CLEAN("RICHLAND")</f>
        <v>RICHLAND</v>
      </c>
      <c r="B362" s="6" t="str">
        <f>CLEAN("5190-00-00")</f>
        <v>5190-00-00</v>
      </c>
      <c r="C362" s="6" t="str">
        <f>CLEAN("5190-00-70")</f>
        <v>5190-00-70</v>
      </c>
      <c r="D362" s="6">
        <v>2022</v>
      </c>
      <c r="E362" s="6" t="str">
        <f>CLEAN("STH-060")</f>
        <v>STH-060</v>
      </c>
      <c r="F362" s="4">
        <v>44544</v>
      </c>
      <c r="G362" s="3" t="str">
        <f>CLEAN("BOSCOBEL - GOTHAM")</f>
        <v>BOSCOBEL - GOTHAM</v>
      </c>
      <c r="H362" s="3" t="str">
        <f>CLEAN("CTH W TO STH 80")</f>
        <v>CTH W TO STH 80</v>
      </c>
      <c r="I362" s="3" t="str">
        <f>CLEAN("CONST/ MILL AND OVERLAY")</f>
        <v>CONST/ MILL AND OVERLAY</v>
      </c>
      <c r="J362" s="3">
        <v>11.48</v>
      </c>
    </row>
    <row r="363" spans="1:10" x14ac:dyDescent="0.25">
      <c r="A363" s="3" t="str">
        <f>CLEAN("RICHLAND")</f>
        <v>RICHLAND</v>
      </c>
      <c r="B363" s="6" t="str">
        <f>CLEAN("1640-03-03")</f>
        <v>1640-03-03</v>
      </c>
      <c r="C363" s="6" t="str">
        <f>CLEAN("1640-03-73")</f>
        <v>1640-03-73</v>
      </c>
      <c r="D363" s="6">
        <v>2025</v>
      </c>
      <c r="E363" s="6" t="str">
        <f>CLEAN("USH-014")</f>
        <v>USH-014</v>
      </c>
      <c r="F363" s="4">
        <v>45608</v>
      </c>
      <c r="G363" s="3" t="str">
        <f>CLEAN("RICHLAND CENTER - SPRING GREEN")</f>
        <v>RICHLAND CENTER - SPRING GREEN</v>
      </c>
      <c r="H363" s="3" t="str">
        <f>CLEAN("BOHMANN DRIVE TO CTH O")</f>
        <v>BOHMANN DRIVE TO CTH O</v>
      </c>
      <c r="I363" s="3" t="str">
        <f>CLEAN("CONST/ MILL AND OVERLAY")</f>
        <v>CONST/ MILL AND OVERLAY</v>
      </c>
      <c r="J363" s="3">
        <v>1.575</v>
      </c>
    </row>
    <row r="364" spans="1:10" x14ac:dyDescent="0.25">
      <c r="A364" s="3" t="str">
        <f>CLEAN("RICHLAND")</f>
        <v>RICHLAND</v>
      </c>
      <c r="B364" s="6" t="str">
        <f>CLEAN("5190-07-00")</f>
        <v>5190-07-00</v>
      </c>
      <c r="C364" s="6" t="str">
        <f>CLEAN("5190-07-60")</f>
        <v>5190-07-60</v>
      </c>
      <c r="D364" s="6">
        <v>2025</v>
      </c>
      <c r="E364" s="6" t="str">
        <f>CLEAN("STH-060")</f>
        <v>STH-060</v>
      </c>
      <c r="F364" s="4">
        <v>45608</v>
      </c>
      <c r="G364" s="3" t="str">
        <f>CLEAN("BOSCOBEL - GOTHAM")</f>
        <v>BOSCOBEL - GOTHAM</v>
      </c>
      <c r="H364" s="3" t="str">
        <f>CLEAN("SLEEPY HOLLOW ROAD TO PUBLIC RDSIDE")</f>
        <v>SLEEPY HOLLOW ROAD TO PUBLIC RDSIDE</v>
      </c>
      <c r="I364" s="3" t="str">
        <f>CLEAN("CONST/MILL &amp; O'LAY ASPHALT/B52-0143")</f>
        <v>CONST/MILL &amp; O'LAY ASPHALT/B52-0143</v>
      </c>
      <c r="J364" s="3">
        <v>2.29</v>
      </c>
    </row>
    <row r="365" spans="1:10" x14ac:dyDescent="0.25">
      <c r="A365" s="3" t="str">
        <f>CLEAN("RICHLAND")</f>
        <v>RICHLAND</v>
      </c>
      <c r="B365" s="6" t="str">
        <f>CLEAN("5190-07-00")</f>
        <v>5190-07-00</v>
      </c>
      <c r="C365" s="6" t="str">
        <f>CLEAN("5190-07-71")</f>
        <v>5190-07-71</v>
      </c>
      <c r="D365" s="6">
        <v>2025</v>
      </c>
      <c r="E365" s="6" t="str">
        <f>CLEAN("STH-060")</f>
        <v>STH-060</v>
      </c>
      <c r="F365" s="4">
        <v>45608</v>
      </c>
      <c r="G365" s="3" t="str">
        <f>CLEAN("STH 80 - SLEEPY HOLLOW ROAD")</f>
        <v>STH 80 - SLEEPY HOLLOW ROAD</v>
      </c>
      <c r="H365" s="3" t="str">
        <f>CLEAN("STH 80 EAST TO SLEEPY HOLLOW RD")</f>
        <v>STH 80 EAST TO SLEEPY HOLLOW RD</v>
      </c>
      <c r="I365" s="3" t="str">
        <f>CLEAN("CONST OPS/MILL&amp;OVERLAY/B-52-0233")</f>
        <v>CONST OPS/MILL&amp;OVERLAY/B-52-0233</v>
      </c>
      <c r="J365" s="3">
        <v>3.51</v>
      </c>
    </row>
    <row r="366" spans="1:10" x14ac:dyDescent="0.25">
      <c r="A366" s="3" t="str">
        <f>CLEAN("RICHLAND")</f>
        <v>RICHLAND</v>
      </c>
      <c r="B366" s="6" t="str">
        <f>CLEAN("5190-07-00")</f>
        <v>5190-07-00</v>
      </c>
      <c r="C366" s="6" t="str">
        <f>CLEAN("5190-07-72")</f>
        <v>5190-07-72</v>
      </c>
      <c r="D366" s="6">
        <v>2025</v>
      </c>
      <c r="E366" s="6" t="str">
        <f>CLEAN("STH-060")</f>
        <v>STH-060</v>
      </c>
      <c r="F366" s="4">
        <v>45608</v>
      </c>
      <c r="G366" s="3" t="str">
        <f>CLEAN("BOSCOBEL - GOTHAM")</f>
        <v>BOSCOBEL - GOTHAM</v>
      </c>
      <c r="H366" s="3" t="str">
        <f>CLEAN("PUBLIC ROADSIDE TO USH 14")</f>
        <v>PUBLIC ROADSIDE TO USH 14</v>
      </c>
      <c r="I366" s="3" t="str">
        <f>CLEAN("CONST/GRADE  BASE &amp; SURFACE")</f>
        <v>CONST/GRADE  BASE &amp; SURFACE</v>
      </c>
      <c r="J366" s="3">
        <v>2.48</v>
      </c>
    </row>
    <row r="367" spans="1:10" x14ac:dyDescent="0.25">
      <c r="A367" s="3" t="str">
        <f>CLEAN("RICHLAND")</f>
        <v>RICHLAND</v>
      </c>
      <c r="B367" s="6" t="str">
        <f>CLEAN("5750-06-00")</f>
        <v>5750-06-00</v>
      </c>
      <c r="C367" s="6" t="str">
        <f>CLEAN("5750-06-70")</f>
        <v>5750-06-70</v>
      </c>
      <c r="D367" s="6">
        <v>2025</v>
      </c>
      <c r="E367" s="6" t="str">
        <f>CLEAN("STH-058")</f>
        <v>STH-058</v>
      </c>
      <c r="F367" s="4">
        <v>45608</v>
      </c>
      <c r="G367" s="3" t="str">
        <f>CLEAN("USH 14 - LAVALLE")</f>
        <v>USH 14 - LAVALLE</v>
      </c>
      <c r="H367" s="3" t="str">
        <f>CLEAN("0.7MI N OF CTH N TO LEE LAKE BRIDGE")</f>
        <v>0.7MI N OF CTH N TO LEE LAKE BRIDGE</v>
      </c>
      <c r="I367" s="3" t="str">
        <f>CLEAN("CONS/MILL &amp; OVERLAY/B-52-60 O'LAY")</f>
        <v>CONS/MILL &amp; OVERLAY/B-52-60 O'LAY</v>
      </c>
      <c r="J367" s="3">
        <v>13.766999999999999</v>
      </c>
    </row>
    <row r="368" spans="1:10" x14ac:dyDescent="0.25">
      <c r="A368" s="3" t="str">
        <f>CLEAN("RICHLAND")</f>
        <v>RICHLAND</v>
      </c>
      <c r="B368" s="6" t="str">
        <f>CLEAN("5070-01-02")</f>
        <v>5070-01-02</v>
      </c>
      <c r="C368" s="6" t="str">
        <f>CLEAN("5070-01-72")</f>
        <v>5070-01-72</v>
      </c>
      <c r="D368" s="6">
        <v>2025</v>
      </c>
      <c r="E368" s="6" t="str">
        <f>CLEAN("STH-154")</f>
        <v>STH-154</v>
      </c>
      <c r="F368" s="4">
        <v>45636</v>
      </c>
      <c r="G368" s="3" t="str">
        <f>CLEAN("STH 58 - ROCK SPRINGS")</f>
        <v>STH 58 - ROCK SPRINGS</v>
      </c>
      <c r="H368" s="3" t="str">
        <f>CLEAN("STH 58 TO EAST COUNTY LINE")</f>
        <v>STH 58 TO EAST COUNTY LINE</v>
      </c>
      <c r="I368" s="3" t="str">
        <f>CLEAN("CONST/ PAVE REPLACE")</f>
        <v>CONST/ PAVE REPLACE</v>
      </c>
      <c r="J368" s="3">
        <v>3.53</v>
      </c>
    </row>
    <row r="369" spans="1:10" x14ac:dyDescent="0.25">
      <c r="A369" s="3"/>
      <c r="B369" s="6"/>
      <c r="C369" s="6"/>
      <c r="D369" s="6"/>
      <c r="E369" s="6"/>
      <c r="F369" s="4"/>
      <c r="G369" s="3"/>
      <c r="H369" s="3"/>
      <c r="I369" s="3"/>
      <c r="J369" s="3"/>
    </row>
    <row r="370" spans="1:10" x14ac:dyDescent="0.25">
      <c r="A370" s="3" t="str">
        <f>CLEAN("ROCK")</f>
        <v>ROCK</v>
      </c>
      <c r="B370" s="6" t="str">
        <f>CLEAN("1001-10-01")</f>
        <v>1001-10-01</v>
      </c>
      <c r="C370" s="6" t="str">
        <f>CLEAN("1001-10-89")</f>
        <v>1001-10-89</v>
      </c>
      <c r="D370" s="6">
        <v>2012</v>
      </c>
      <c r="E370" s="6" t="str">
        <f>CLEAN("IH -039")</f>
        <v>IH -039</v>
      </c>
      <c r="F370" s="4">
        <v>41054</v>
      </c>
      <c r="G370" s="3" t="str">
        <f>CLEAN("ILLINOIS STATE LINE - MADISON")</f>
        <v>ILLINOIS STATE LINE - MADISON</v>
      </c>
      <c r="H370" s="3" t="str">
        <f>CLEAN("ILLINIOS STATE LINE TO MADISON")</f>
        <v>ILLINIOS STATE LINE TO MADISON</v>
      </c>
      <c r="I370" s="3" t="str">
        <f>CLEAN("CONST/REIMBURSEMENT TO ILLINOIS")</f>
        <v>CONST/REIMBURSEMENT TO ILLINOIS</v>
      </c>
      <c r="J370" s="3">
        <v>0</v>
      </c>
    </row>
    <row r="371" spans="1:10" x14ac:dyDescent="0.25">
      <c r="A371" s="3" t="str">
        <f>CLEAN("ROCK")</f>
        <v>ROCK</v>
      </c>
      <c r="B371" s="6" t="str">
        <f>CLEAN("1001-10-01")</f>
        <v>1001-10-01</v>
      </c>
      <c r="C371" s="6" t="str">
        <f>CLEAN("1001-10-88")</f>
        <v>1001-10-88</v>
      </c>
      <c r="D371" s="6">
        <v>2012</v>
      </c>
      <c r="E371" s="6" t="str">
        <f>CLEAN("IH -039")</f>
        <v>IH -039</v>
      </c>
      <c r="F371" s="4">
        <v>41085</v>
      </c>
      <c r="G371" s="3" t="str">
        <f>CLEAN("ILLINOIS STATE LINE - MADISON")</f>
        <v>ILLINOIS STATE LINE - MADISON</v>
      </c>
      <c r="H371" s="3" t="str">
        <f>CLEAN("ILLINIOS STATE LINE TO MADISON")</f>
        <v>ILLINIOS STATE LINE TO MADISON</v>
      </c>
      <c r="I371" s="3" t="str">
        <f>CLEAN("ITS DMS SIGN AND PO ITEMS")</f>
        <v>ITS DMS SIGN AND PO ITEMS</v>
      </c>
      <c r="J371" s="3">
        <v>0</v>
      </c>
    </row>
    <row r="372" spans="1:10" x14ac:dyDescent="0.25">
      <c r="A372" s="3" t="str">
        <f>CLEAN("ROCK")</f>
        <v>ROCK</v>
      </c>
      <c r="B372" s="6" t="str">
        <f>CLEAN("1003-10-01")</f>
        <v>1003-10-01</v>
      </c>
      <c r="C372" s="6" t="str">
        <f>CLEAN("1003-10-70")</f>
        <v>1003-10-70</v>
      </c>
      <c r="D372" s="6">
        <v>2013</v>
      </c>
      <c r="E372" s="6" t="str">
        <f>CLEAN("IH -039")</f>
        <v>IH -039</v>
      </c>
      <c r="F372" s="4">
        <v>41408</v>
      </c>
      <c r="G372" s="3" t="str">
        <f>CLEAN("ILLINOIS STATE LINE - MADISON")</f>
        <v>ILLINOIS STATE LINE - MADISON</v>
      </c>
      <c r="H372" s="3" t="str">
        <f>CLEAN("STATELINE ROAD TO CTH O")</f>
        <v>STATELINE ROAD TO CTH O</v>
      </c>
      <c r="I372" s="3" t="str">
        <f>CLEAN("EARLY ITS COMMUNICATIONS SOUTH SEG")</f>
        <v>EARLY ITS COMMUNICATIONS SOUTH SEG</v>
      </c>
      <c r="J372" s="3">
        <v>0</v>
      </c>
    </row>
    <row r="373" spans="1:10" x14ac:dyDescent="0.25">
      <c r="A373" s="3" t="str">
        <f>CLEAN("ROCK")</f>
        <v>ROCK</v>
      </c>
      <c r="B373" s="6" t="str">
        <f>CLEAN("1003-10-01")</f>
        <v>1003-10-01</v>
      </c>
      <c r="C373" s="6" t="str">
        <f>CLEAN("1003-10-86")</f>
        <v>1003-10-86</v>
      </c>
      <c r="D373" s="6">
        <v>2013</v>
      </c>
      <c r="E373" s="6" t="str">
        <f>CLEAN("IH -039")</f>
        <v>IH -039</v>
      </c>
      <c r="F373" s="4">
        <v>41408</v>
      </c>
      <c r="G373" s="3" t="str">
        <f>CLEAN("ILLINOIS STATE LINE - MADISON")</f>
        <v>ILLINOIS STATE LINE - MADISON</v>
      </c>
      <c r="H373" s="3" t="str">
        <f>CLEAN("STATELINE ROAD TO WOODMAN ROAD")</f>
        <v>STATELINE ROAD TO WOODMAN ROAD</v>
      </c>
      <c r="I373" s="3" t="str">
        <f>CLEAN("CONST OPS/RECST TEMP STAGING")</f>
        <v>CONST OPS/RECST TEMP STAGING</v>
      </c>
      <c r="J373" s="3">
        <v>6.7569999999999997</v>
      </c>
    </row>
    <row r="374" spans="1:10" x14ac:dyDescent="0.25">
      <c r="A374" s="3" t="str">
        <f>CLEAN("ROCK")</f>
        <v>ROCK</v>
      </c>
      <c r="B374" s="6" t="str">
        <f>CLEAN("1003-10-01")</f>
        <v>1003-10-01</v>
      </c>
      <c r="C374" s="6" t="str">
        <f>CLEAN("1005-10-70")</f>
        <v>1005-10-70</v>
      </c>
      <c r="D374" s="6">
        <v>2013</v>
      </c>
      <c r="E374" s="6" t="str">
        <f>CLEAN("IH -039")</f>
        <v>IH -039</v>
      </c>
      <c r="F374" s="4">
        <v>41408</v>
      </c>
      <c r="G374" s="3" t="str">
        <f>CLEAN("ILLINOIS STATE LINE - MADISON")</f>
        <v>ILLINOIS STATE LINE - MADISON</v>
      </c>
      <c r="H374" s="3" t="str">
        <f>CLEAN("CTH O TO NORTH ROCK COUNTY LINE")</f>
        <v>CTH O TO NORTH ROCK COUNTY LINE</v>
      </c>
      <c r="I374" s="3" t="str">
        <f>CLEAN("EARLY ITS COMMUNICATION CENTRAL SEG")</f>
        <v>EARLY ITS COMMUNICATION CENTRAL SEG</v>
      </c>
      <c r="J374" s="3">
        <v>0</v>
      </c>
    </row>
    <row r="375" spans="1:10" x14ac:dyDescent="0.25">
      <c r="A375" s="3" t="str">
        <f>CLEAN("ROCK")</f>
        <v>ROCK</v>
      </c>
      <c r="B375" s="6" t="str">
        <f>CLEAN("1003-10-01")</f>
        <v>1003-10-01</v>
      </c>
      <c r="C375" s="6" t="str">
        <f>CLEAN("1003-10-85")</f>
        <v>1003-10-85</v>
      </c>
      <c r="D375" s="6">
        <v>2013</v>
      </c>
      <c r="E375" s="6" t="str">
        <f>CLEAN("IH -039")</f>
        <v>IH -039</v>
      </c>
      <c r="F375" s="4">
        <v>41450</v>
      </c>
      <c r="G375" s="3" t="str">
        <f>CLEAN("ILLINOIS STATE LINE - MADISON")</f>
        <v>ILLINOIS STATE LINE - MADISON</v>
      </c>
      <c r="H375" s="3" t="str">
        <f>CLEAN("STATELINE ROAD TO CTH O")</f>
        <v>STATELINE ROAD TO CTH O</v>
      </c>
      <c r="I375" s="3" t="str">
        <f>CLEAN("ITS PO ITEMS FOR SOUTH SEG FY 2013")</f>
        <v>ITS PO ITEMS FOR SOUTH SEG FY 2013</v>
      </c>
      <c r="J375" s="3">
        <v>0</v>
      </c>
    </row>
    <row r="376" spans="1:10" x14ac:dyDescent="0.25">
      <c r="A376" s="3" t="str">
        <f>CLEAN("ROCK")</f>
        <v>ROCK</v>
      </c>
      <c r="B376" s="6" t="str">
        <f>CLEAN("1003-10-01")</f>
        <v>1003-10-01</v>
      </c>
      <c r="C376" s="6" t="str">
        <f>CLEAN("1005-10-79")</f>
        <v>1005-10-79</v>
      </c>
      <c r="D376" s="6">
        <v>2013</v>
      </c>
      <c r="E376" s="6" t="str">
        <f>CLEAN("IH -039")</f>
        <v>IH -039</v>
      </c>
      <c r="F376" s="4">
        <v>41450</v>
      </c>
      <c r="G376" s="3" t="str">
        <f>CLEAN("ILLINOIS STATE LINE TO MADISON")</f>
        <v>ILLINOIS STATE LINE TO MADISON</v>
      </c>
      <c r="H376" s="3" t="str">
        <f>CLEAN("CTH O TO NORTH ROCK COUNTY LINE")</f>
        <v>CTH O TO NORTH ROCK COUNTY LINE</v>
      </c>
      <c r="I376" s="3" t="str">
        <f>CLEAN("ITS PO ITEMS CENTRAL SEG FY 2013")</f>
        <v>ITS PO ITEMS CENTRAL SEG FY 2013</v>
      </c>
      <c r="J376" s="3">
        <v>0</v>
      </c>
    </row>
    <row r="377" spans="1:10" x14ac:dyDescent="0.25">
      <c r="A377" s="3" t="str">
        <f>CLEAN("ROCK")</f>
        <v>ROCK</v>
      </c>
      <c r="B377" s="6" t="str">
        <f>CLEAN("1003-10-01")</f>
        <v>1003-10-01</v>
      </c>
      <c r="C377" s="6" t="str">
        <f>CLEAN("1003-10-87")</f>
        <v>1003-10-87</v>
      </c>
      <c r="D377" s="6">
        <v>2014</v>
      </c>
      <c r="E377" s="6" t="str">
        <f>CLEAN("IH -039")</f>
        <v>IH -039</v>
      </c>
      <c r="F377" s="4">
        <v>41511</v>
      </c>
      <c r="G377" s="3" t="str">
        <f>CLEAN("ILLINOIS STATE LINE - MADISON")</f>
        <v>ILLINOIS STATE LINE - MADISON</v>
      </c>
      <c r="H377" s="3" t="str">
        <f>CLEAN("STATELINE ROAD TO CTH O")</f>
        <v>STATELINE ROAD TO CTH O</v>
      </c>
      <c r="I377" s="3" t="str">
        <f>CLEAN("ITS PO S SEG 1003-10-70 FY 2014")</f>
        <v>ITS PO S SEG 1003-10-70 FY 2014</v>
      </c>
      <c r="J377" s="3">
        <v>0</v>
      </c>
    </row>
    <row r="378" spans="1:10" x14ac:dyDescent="0.25">
      <c r="A378" s="3" t="str">
        <f>CLEAN("ROCK")</f>
        <v>ROCK</v>
      </c>
      <c r="B378" s="6" t="str">
        <f>CLEAN("1003-10-01")</f>
        <v>1003-10-01</v>
      </c>
      <c r="C378" s="6" t="str">
        <f>CLEAN("1005-10-80")</f>
        <v>1005-10-80</v>
      </c>
      <c r="D378" s="6">
        <v>2014</v>
      </c>
      <c r="E378" s="6" t="str">
        <f>CLEAN("IH -039")</f>
        <v>IH -039</v>
      </c>
      <c r="F378" s="4">
        <v>41511</v>
      </c>
      <c r="G378" s="3" t="str">
        <f>CLEAN("ILLINOIS STATE LINE TO MADISON")</f>
        <v>ILLINOIS STATE LINE TO MADISON</v>
      </c>
      <c r="H378" s="3" t="str">
        <f>CLEAN("CTH O TO NORTH ROCK COUNTY LINE")</f>
        <v>CTH O TO NORTH ROCK COUNTY LINE</v>
      </c>
      <c r="I378" s="3" t="str">
        <f>CLEAN("ITS PO C SEG 1005-10-70 FY 2014")</f>
        <v>ITS PO C SEG 1005-10-70 FY 2014</v>
      </c>
      <c r="J378" s="3">
        <v>0</v>
      </c>
    </row>
    <row r="379" spans="1:10" x14ac:dyDescent="0.25">
      <c r="A379" s="3" t="str">
        <f>CLEAN("ROCK")</f>
        <v>ROCK</v>
      </c>
      <c r="B379" s="6" t="str">
        <f>CLEAN("5569-00-02")</f>
        <v>5569-00-02</v>
      </c>
      <c r="C379" s="6" t="str">
        <f>CLEAN("5569-00-72")</f>
        <v>5569-00-72</v>
      </c>
      <c r="D379" s="6">
        <v>2015</v>
      </c>
      <c r="E379" s="6" t="str">
        <f>CLEAN("USH-014")</f>
        <v>USH-014</v>
      </c>
      <c r="F379" s="4">
        <v>42045</v>
      </c>
      <c r="G379" s="3" t="str">
        <f>CLEAN("EVANSVILLE - JANESVILLE")</f>
        <v>EVANSVILLE - JANESVILLE</v>
      </c>
      <c r="H379" s="3" t="str">
        <f>CLEAN("USH 51 TO WRIGHT ROAD")</f>
        <v>USH 51 TO WRIGHT ROAD</v>
      </c>
      <c r="I379" s="3" t="str">
        <f>CLEAN("CONST OPS/RECOND/SIGNALS/TEMP ROUTE")</f>
        <v>CONST OPS/RECOND/SIGNALS/TEMP ROUTE</v>
      </c>
      <c r="J379" s="3">
        <v>3.274</v>
      </c>
    </row>
    <row r="380" spans="1:10" x14ac:dyDescent="0.25">
      <c r="A380" s="3" t="str">
        <f>CLEAN("ROCK")</f>
        <v>ROCK</v>
      </c>
      <c r="B380" s="6" t="str">
        <f>CLEAN("1003-10-01")</f>
        <v>1003-10-01</v>
      </c>
      <c r="C380" s="6" t="str">
        <f>CLEAN("1003-10-71")</f>
        <v>1003-10-71</v>
      </c>
      <c r="D380" s="6">
        <v>2015</v>
      </c>
      <c r="E380" s="6" t="str">
        <f>CLEAN("IH -039")</f>
        <v>IH -039</v>
      </c>
      <c r="F380" s="4">
        <v>42073</v>
      </c>
      <c r="G380" s="3" t="str">
        <f>CLEAN("ILLINOIS STATE LINE - MADISON")</f>
        <v>ILLINOIS STATE LINE - MADISON</v>
      </c>
      <c r="H380" s="3" t="str">
        <f>CLEAN("CTH S  SHOPIERE ROAD INTERCHANGE")</f>
        <v>CTH S  SHOPIERE ROAD INTERCHANGE</v>
      </c>
      <c r="I380" s="3" t="str">
        <f>CLEAN("CONST OPS/INTERCHANGE IMPROVEMENTS")</f>
        <v>CONST OPS/INTERCHANGE IMPROVEMENTS</v>
      </c>
      <c r="J380" s="3">
        <v>1.0369999999999999</v>
      </c>
    </row>
    <row r="381" spans="1:10" x14ac:dyDescent="0.25">
      <c r="A381" s="3" t="str">
        <f>CLEAN("ROCK")</f>
        <v>ROCK</v>
      </c>
      <c r="B381" s="6" t="str">
        <f>CLEAN("5569-00-02")</f>
        <v>5569-00-02</v>
      </c>
      <c r="C381" s="6" t="str">
        <f>CLEAN("5569-00-73")</f>
        <v>5569-00-73</v>
      </c>
      <c r="D381" s="6">
        <v>2015</v>
      </c>
      <c r="E381" s="6" t="str">
        <f>CLEAN("USH-014")</f>
        <v>USH-014</v>
      </c>
      <c r="F381" s="4">
        <v>42073</v>
      </c>
      <c r="G381" s="3" t="str">
        <f>CLEAN("EVANSVILLE - JANESVILLE")</f>
        <v>EVANSVILLE - JANESVILLE</v>
      </c>
      <c r="H381" s="3" t="str">
        <f>CLEAN("IH 39 TO STH 11")</f>
        <v>IH 39 TO STH 11</v>
      </c>
      <c r="I381" s="3" t="str">
        <f>CLEAN("CONST OPS/RECOND/TEMP ROUTE")</f>
        <v>CONST OPS/RECOND/TEMP ROUTE</v>
      </c>
      <c r="J381" s="3">
        <v>3.617</v>
      </c>
    </row>
    <row r="382" spans="1:10" x14ac:dyDescent="0.25">
      <c r="A382" s="3" t="str">
        <f>CLEAN("ROCK")</f>
        <v>ROCK</v>
      </c>
      <c r="B382" s="6" t="str">
        <f>CLEAN("1003-10-01")</f>
        <v>1003-10-01</v>
      </c>
      <c r="C382" s="6" t="str">
        <f>CLEAN("1003-10-94")</f>
        <v>1003-10-94</v>
      </c>
      <c r="D382" s="6">
        <v>2015</v>
      </c>
      <c r="E382" s="6" t="str">
        <f>CLEAN("IH -039")</f>
        <v>IH -039</v>
      </c>
      <c r="F382" s="4">
        <v>42149</v>
      </c>
      <c r="G382" s="3" t="str">
        <f>CLEAN("ILLINOIS STATE LINE - MADISON")</f>
        <v>ILLINOIS STATE LINE - MADISON</v>
      </c>
      <c r="H382" s="3" t="str">
        <f>CLEAN("CTH S  SHOPIERE ROAD INTERCHANGE")</f>
        <v>CTH S  SHOPIERE ROAD INTERCHANGE</v>
      </c>
      <c r="I382" s="3" t="str">
        <f>CLEAN("FST/1003-10-71/FY 2015")</f>
        <v>FST/1003-10-71/FY 2015</v>
      </c>
      <c r="J382" s="3">
        <v>0</v>
      </c>
    </row>
    <row r="383" spans="1:10" x14ac:dyDescent="0.25">
      <c r="A383" s="3" t="str">
        <f>CLEAN("ROCK")</f>
        <v>ROCK</v>
      </c>
      <c r="B383" s="6" t="str">
        <f>CLEAN("1001-10-12")</f>
        <v>1001-10-12</v>
      </c>
      <c r="C383" s="6" t="str">
        <f>CLEAN("1001-10-72")</f>
        <v>1001-10-72</v>
      </c>
      <c r="D383" s="6">
        <v>2015</v>
      </c>
      <c r="E383" s="6" t="str">
        <f>CLEAN("IH -039")</f>
        <v>IH -039</v>
      </c>
      <c r="F383" s="4">
        <v>42180</v>
      </c>
      <c r="G383" s="3" t="str">
        <f>CLEAN("ILLINOIS STATE LINE - MADISON")</f>
        <v>ILLINOIS STATE LINE - MADISON</v>
      </c>
      <c r="H383" s="3" t="str">
        <f>CLEAN("ILLINOIS STATE LINE - MADISON")</f>
        <v>ILLINOIS STATE LINE - MADISON</v>
      </c>
      <c r="I383" s="3" t="str">
        <f>CLEAN("ITS INCIDENTAL PO ITEMS FY 2015")</f>
        <v>ITS INCIDENTAL PO ITEMS FY 2015</v>
      </c>
      <c r="J383" s="3">
        <v>0</v>
      </c>
    </row>
    <row r="384" spans="1:10" x14ac:dyDescent="0.25">
      <c r="A384" s="3" t="str">
        <f>CLEAN("ROCK")</f>
        <v>ROCK</v>
      </c>
      <c r="B384" s="6" t="str">
        <f>CLEAN("1003-10-01")</f>
        <v>1003-10-01</v>
      </c>
      <c r="C384" s="6" t="str">
        <f>CLEAN("1003-10-89")</f>
        <v>1003-10-89</v>
      </c>
      <c r="D384" s="6">
        <v>2015</v>
      </c>
      <c r="E384" s="6" t="str">
        <f>CLEAN("IH -039")</f>
        <v>IH -039</v>
      </c>
      <c r="F384" s="4">
        <v>42180</v>
      </c>
      <c r="G384" s="3" t="str">
        <f>CLEAN("ILLINOIS STATE LINE - MADISON")</f>
        <v>ILLINOIS STATE LINE - MADISON</v>
      </c>
      <c r="H384" s="3" t="str">
        <f>CLEAN("CTH S  SHOPIERE ROAD INTERCHANGE")</f>
        <v>CTH S  SHOPIERE ROAD INTERCHANGE</v>
      </c>
      <c r="I384" s="3" t="str">
        <f>CLEAN("ITS PO 1003-10-71/FY 2015")</f>
        <v>ITS PO 1003-10-71/FY 2015</v>
      </c>
      <c r="J384" s="3">
        <v>0</v>
      </c>
    </row>
    <row r="385" spans="1:10" x14ac:dyDescent="0.25">
      <c r="A385" s="3" t="str">
        <f>CLEAN("ROCK")</f>
        <v>ROCK</v>
      </c>
      <c r="B385" s="6" t="str">
        <f>CLEAN("5569-00-02")</f>
        <v>5569-00-02</v>
      </c>
      <c r="C385" s="6" t="str">
        <f>CLEAN("5569-00-77")</f>
        <v>5569-00-77</v>
      </c>
      <c r="D385" s="6">
        <v>2015</v>
      </c>
      <c r="E385" s="6" t="str">
        <f>CLEAN("USH-014")</f>
        <v>USH-014</v>
      </c>
      <c r="F385" s="4">
        <v>42180</v>
      </c>
      <c r="G385" s="3" t="str">
        <f>CLEAN("EVANSVILLE - JANESVILLE")</f>
        <v>EVANSVILLE - JANESVILLE</v>
      </c>
      <c r="H385" s="3" t="str">
        <f>CLEAN("IH 39 TO STH 11")</f>
        <v>IH 39 TO STH 11</v>
      </c>
      <c r="I385" s="3" t="str">
        <f>CLEAN("TRF SIGNAL PO ITEMS FOR 5569-00-73")</f>
        <v>TRF SIGNAL PO ITEMS FOR 5569-00-73</v>
      </c>
      <c r="J385" s="3">
        <v>0</v>
      </c>
    </row>
    <row r="386" spans="1:10" x14ac:dyDescent="0.25">
      <c r="A386" s="3" t="str">
        <f>CLEAN("ROCK")</f>
        <v>ROCK</v>
      </c>
      <c r="B386" s="6" t="str">
        <f>CLEAN("5569-00-02")</f>
        <v>5569-00-02</v>
      </c>
      <c r="C386" s="6" t="str">
        <f>CLEAN("5569-00-78")</f>
        <v>5569-00-78</v>
      </c>
      <c r="D386" s="6">
        <v>2015</v>
      </c>
      <c r="E386" s="6" t="str">
        <f>CLEAN("USH-014")</f>
        <v>USH-014</v>
      </c>
      <c r="F386" s="4">
        <v>42180</v>
      </c>
      <c r="G386" s="3" t="str">
        <f>CLEAN("EVANSVILLE - JANESVILLE")</f>
        <v>EVANSVILLE - JANESVILLE</v>
      </c>
      <c r="H386" s="3" t="str">
        <f>CLEAN("USH 51 TO WRIGHT ROAD")</f>
        <v>USH 51 TO WRIGHT ROAD</v>
      </c>
      <c r="I386" s="3" t="str">
        <f>CLEAN("INCIDENTAL ITS/TRF FOR 5569-00-72")</f>
        <v>INCIDENTAL ITS/TRF FOR 5569-00-72</v>
      </c>
      <c r="J386" s="3">
        <v>0</v>
      </c>
    </row>
    <row r="387" spans="1:10" x14ac:dyDescent="0.25">
      <c r="A387" s="3" t="str">
        <f>CLEAN("ROCK")</f>
        <v>ROCK</v>
      </c>
      <c r="B387" s="6" t="str">
        <f>CLEAN("1003-10-01")</f>
        <v>1003-10-01</v>
      </c>
      <c r="C387" s="6" t="str">
        <f>CLEAN("1003-10-72")</f>
        <v>1003-10-72</v>
      </c>
      <c r="D387" s="6">
        <v>2016</v>
      </c>
      <c r="E387" s="6" t="str">
        <f>CLEAN("IH -039")</f>
        <v>IH -039</v>
      </c>
      <c r="F387" s="4">
        <v>42227</v>
      </c>
      <c r="G387" s="3" t="str">
        <f>CLEAN("ILLINOIS STATE LINE - MADISON")</f>
        <v>ILLINOIS STATE LINE - MADISON</v>
      </c>
      <c r="H387" s="3" t="str">
        <f>CLEAN("STH 11  AVALON ROAD INTERCHANGE")</f>
        <v>STH 11  AVALON ROAD INTERCHANGE</v>
      </c>
      <c r="I387" s="3" t="str">
        <f>CLEAN("CONST OPS/INTERCHANGE IMPROVEMENTS")</f>
        <v>CONST OPS/INTERCHANGE IMPROVEMENTS</v>
      </c>
      <c r="J387" s="3">
        <v>0</v>
      </c>
    </row>
    <row r="388" spans="1:10" x14ac:dyDescent="0.25">
      <c r="A388" s="3" t="str">
        <f>CLEAN("ROCK")</f>
        <v>ROCK</v>
      </c>
      <c r="B388" s="6" t="str">
        <f>CLEAN("1003-10-01")</f>
        <v>1003-10-01</v>
      </c>
      <c r="C388" s="6" t="str">
        <f>CLEAN("1003-10-73")</f>
        <v>1003-10-73</v>
      </c>
      <c r="D388" s="6">
        <v>2016</v>
      </c>
      <c r="E388" s="6" t="str">
        <f>CLEAN("IH -039")</f>
        <v>IH -039</v>
      </c>
      <c r="F388" s="4">
        <v>42381</v>
      </c>
      <c r="G388" s="3" t="str">
        <f>CLEAN("ILLINOIS STATE LINE - MADISON")</f>
        <v>ILLINOIS STATE LINE - MADISON</v>
      </c>
      <c r="H388" s="3" t="str">
        <f>CLEAN("HART ROAD BRIDGE B-53-0312")</f>
        <v>HART ROAD BRIDGE B-53-0312</v>
      </c>
      <c r="I388" s="3" t="str">
        <f>CLEAN("CONST OPS/BRIDGE REPLACEMENT")</f>
        <v>CONST OPS/BRIDGE REPLACEMENT</v>
      </c>
      <c r="J388" s="3">
        <v>0</v>
      </c>
    </row>
    <row r="389" spans="1:10" x14ac:dyDescent="0.25">
      <c r="A389" s="3" t="str">
        <f>CLEAN("ROCK")</f>
        <v>ROCK</v>
      </c>
      <c r="B389" s="6" t="str">
        <f>CLEAN("1005-10-01")</f>
        <v>1005-10-01</v>
      </c>
      <c r="C389" s="6" t="str">
        <f>CLEAN("1005-10-71")</f>
        <v>1005-10-71</v>
      </c>
      <c r="D389" s="6">
        <v>2016</v>
      </c>
      <c r="E389" s="6" t="str">
        <f>CLEAN("IH -039")</f>
        <v>IH -039</v>
      </c>
      <c r="F389" s="4">
        <v>42381</v>
      </c>
      <c r="G389" s="3" t="str">
        <f>CLEAN("ILLINOIS STATE LINE - MADISON")</f>
        <v>ILLINOIS STATE LINE - MADISON</v>
      </c>
      <c r="H389" s="3" t="str">
        <f>CLEAN("ROCK RIVER BRIDGES B-53-0357/0358")</f>
        <v>ROCK RIVER BRIDGES B-53-0357/0358</v>
      </c>
      <c r="I389" s="3" t="str">
        <f>CLEAN("CONST OPS/BRIDGE REPL EXPANSION")</f>
        <v>CONST OPS/BRIDGE REPL EXPANSION</v>
      </c>
      <c r="J389" s="3">
        <v>0.14499999999999999</v>
      </c>
    </row>
    <row r="390" spans="1:10" x14ac:dyDescent="0.25">
      <c r="A390" s="3" t="str">
        <f>CLEAN("ROCK")</f>
        <v>ROCK</v>
      </c>
      <c r="B390" s="6" t="str">
        <f>CLEAN("1005-10-01")</f>
        <v>1005-10-01</v>
      </c>
      <c r="C390" s="6" t="str">
        <f>CLEAN("1005-10-72")</f>
        <v>1005-10-72</v>
      </c>
      <c r="D390" s="6">
        <v>2016</v>
      </c>
      <c r="E390" s="6" t="str">
        <f>CLEAN("IH -039")</f>
        <v>IH -039</v>
      </c>
      <c r="F390" s="4">
        <v>42381</v>
      </c>
      <c r="G390" s="3" t="str">
        <f>CLEAN("ILLINOIS STATE LINE - MADISON")</f>
        <v>ILLINOIS STATE LINE - MADISON</v>
      </c>
      <c r="H390" s="3" t="str">
        <f>CLEAN("KNUTSON RD TO NORTH ROCK CNTY LINE")</f>
        <v>KNUTSON RD TO NORTH ROCK CNTY LINE</v>
      </c>
      <c r="I390" s="3" t="str">
        <f>CLEAN("CONST OPS/RECSTE PAVMNT/INTERCHANGE")</f>
        <v>CONST OPS/RECSTE PAVMNT/INTERCHANGE</v>
      </c>
      <c r="J390" s="3">
        <v>1.883</v>
      </c>
    </row>
    <row r="391" spans="1:10" x14ac:dyDescent="0.25">
      <c r="A391" s="3" t="str">
        <f>CLEAN("ROCK")</f>
        <v>ROCK</v>
      </c>
      <c r="B391" s="6" t="str">
        <f>CLEAN("1003-10-01")</f>
        <v>1003-10-01</v>
      </c>
      <c r="C391" s="6" t="str">
        <f>CLEAN("1003-10-83")</f>
        <v>1003-10-83</v>
      </c>
      <c r="D391" s="6">
        <v>2016</v>
      </c>
      <c r="E391" s="6" t="str">
        <f>CLEAN("IH -039")</f>
        <v>IH -039</v>
      </c>
      <c r="F391" s="4">
        <v>42409</v>
      </c>
      <c r="G391" s="3" t="str">
        <f>CLEAN("ILLINOIS STATE LINE - MADISON")</f>
        <v>ILLINOIS STATE LINE - MADISON</v>
      </c>
      <c r="H391" s="3" t="str">
        <f>CLEAN("STH 11 TO CTH O")</f>
        <v>STH 11 TO CTH O</v>
      </c>
      <c r="I391" s="3" t="str">
        <f>CLEAN("CONST OPS/RECST/TEMP WIDENING SB")</f>
        <v>CONST OPS/RECST/TEMP WIDENING SB</v>
      </c>
      <c r="J391" s="3">
        <v>1.6859999999999999</v>
      </c>
    </row>
    <row r="392" spans="1:10" x14ac:dyDescent="0.25">
      <c r="A392" s="3" t="str">
        <f>CLEAN("ROCK")</f>
        <v>ROCK</v>
      </c>
      <c r="B392" s="6" t="str">
        <f>CLEAN("1005-10-01")</f>
        <v>1005-10-01</v>
      </c>
      <c r="C392" s="6" t="str">
        <f>CLEAN("1005-10-73")</f>
        <v>1005-10-73</v>
      </c>
      <c r="D392" s="6">
        <v>2016</v>
      </c>
      <c r="E392" s="6" t="str">
        <f>CLEAN("IH -039")</f>
        <v>IH -039</v>
      </c>
      <c r="F392" s="4">
        <v>42409</v>
      </c>
      <c r="G392" s="3" t="str">
        <f>CLEAN("ILLINOIS STATE LINE - MADISON")</f>
        <v>ILLINOIS STATE LINE - MADISON</v>
      </c>
      <c r="H392" s="3" t="str">
        <f>CLEAN("CTH O TO KENNEDY ROAD")</f>
        <v>CTH O TO KENNEDY ROAD</v>
      </c>
      <c r="I392" s="3" t="str">
        <f>CLEAN("CONST OPS/TEMP WIDENING-BR REHABS")</f>
        <v>CONST OPS/TEMP WIDENING-BR REHABS</v>
      </c>
      <c r="J392" s="3">
        <v>5.6580000000000004</v>
      </c>
    </row>
    <row r="393" spans="1:10" x14ac:dyDescent="0.25">
      <c r="A393" s="3" t="str">
        <f>CLEAN("ROCK")</f>
        <v>ROCK</v>
      </c>
      <c r="B393" s="6" t="str">
        <f>CLEAN("1005-10-01")</f>
        <v>1005-10-01</v>
      </c>
      <c r="C393" s="6" t="str">
        <f>CLEAN("1005-10-82")</f>
        <v>1005-10-82</v>
      </c>
      <c r="D393" s="6">
        <v>2016</v>
      </c>
      <c r="E393" s="6" t="str">
        <f>CLEAN("IH -039")</f>
        <v>IH -039</v>
      </c>
      <c r="F393" s="4">
        <v>42409</v>
      </c>
      <c r="G393" s="3" t="str">
        <f>CLEAN("ILLINOIS STATE LINE - MADISON")</f>
        <v>ILLINOIS STATE LINE - MADISON</v>
      </c>
      <c r="H393" s="3" t="str">
        <f>CLEAN("CTH O TO KENNEDY ROAD")</f>
        <v>CTH O TO KENNEDY ROAD</v>
      </c>
      <c r="I393" s="3" t="str">
        <f>CLEAN("CONST OPS/SANITARY SEWER AND WATER")</f>
        <v>CONST OPS/SANITARY SEWER AND WATER</v>
      </c>
      <c r="J393" s="3">
        <v>0</v>
      </c>
    </row>
    <row r="394" spans="1:10" x14ac:dyDescent="0.25">
      <c r="A394" s="3" t="str">
        <f>CLEAN("ROCK")</f>
        <v>ROCK</v>
      </c>
      <c r="B394" s="6" t="str">
        <f>CLEAN("1005-10-01")</f>
        <v>1005-10-01</v>
      </c>
      <c r="C394" s="6" t="str">
        <f>CLEAN("1005-10-98")</f>
        <v>1005-10-98</v>
      </c>
      <c r="D394" s="6">
        <v>2016</v>
      </c>
      <c r="E394" s="6" t="str">
        <f>CLEAN("IH -039")</f>
        <v>IH -039</v>
      </c>
      <c r="F394" s="4">
        <v>42454</v>
      </c>
      <c r="G394" s="3" t="str">
        <f>CLEAN("ILLINOIS STATE LINE - MADISON")</f>
        <v>ILLINOIS STATE LINE - MADISON</v>
      </c>
      <c r="H394" s="3" t="str">
        <f>CLEAN("KNUTSON RD TO NORTH ROCK CNTY LINE")</f>
        <v>KNUTSON RD TO NORTH ROCK CNTY LINE</v>
      </c>
      <c r="I394" s="3" t="str">
        <f>CLEAN("FST 1005-10-72/FY 2016")</f>
        <v>FST 1005-10-72/FY 2016</v>
      </c>
      <c r="J394" s="3">
        <v>0</v>
      </c>
    </row>
    <row r="395" spans="1:10" x14ac:dyDescent="0.25">
      <c r="A395" s="3" t="str">
        <f>CLEAN("ROCK")</f>
        <v>ROCK</v>
      </c>
      <c r="B395" s="6" t="str">
        <f>CLEAN("1003-10-01")</f>
        <v>1003-10-01</v>
      </c>
      <c r="C395" s="6" t="str">
        <f>CLEAN("1003-10-74")</f>
        <v>1003-10-74</v>
      </c>
      <c r="D395" s="6">
        <v>2016</v>
      </c>
      <c r="E395" s="6" t="str">
        <f>CLEAN("IH -039")</f>
        <v>IH -039</v>
      </c>
      <c r="F395" s="4">
        <v>42535</v>
      </c>
      <c r="G395" s="3" t="str">
        <f>CLEAN("ILLINOIS STATE LINE - MADISON")</f>
        <v>ILLINOIS STATE LINE - MADISON</v>
      </c>
      <c r="H395" s="3" t="str">
        <f>CLEAN("CREEK ROAD BRIDGE B-53-0316")</f>
        <v>CREEK ROAD BRIDGE B-53-0316</v>
      </c>
      <c r="I395" s="3" t="str">
        <f>CLEAN("CONST OPS/BRIDGE REPLACEMENT")</f>
        <v>CONST OPS/BRIDGE REPLACEMENT</v>
      </c>
      <c r="J395" s="3">
        <v>0</v>
      </c>
    </row>
    <row r="396" spans="1:10" x14ac:dyDescent="0.25">
      <c r="A396" s="3" t="str">
        <f>CLEAN("ROCK")</f>
        <v>ROCK</v>
      </c>
      <c r="B396" s="6" t="str">
        <f>CLEAN("1003-10-01")</f>
        <v>1003-10-01</v>
      </c>
      <c r="C396" s="6" t="str">
        <f>CLEAN("1003-10-75")</f>
        <v>1003-10-75</v>
      </c>
      <c r="D396" s="6">
        <v>2016</v>
      </c>
      <c r="E396" s="6" t="str">
        <f>CLEAN("IH -039")</f>
        <v>IH -039</v>
      </c>
      <c r="F396" s="4">
        <v>42535</v>
      </c>
      <c r="G396" s="3" t="str">
        <f>CLEAN("ILLINOIS STATE LINE - MADISON")</f>
        <v>ILLINOIS STATE LINE - MADISON</v>
      </c>
      <c r="H396" s="3" t="str">
        <f>CLEAN("WOODMAN ROAD BRIDGE B-53-0319")</f>
        <v>WOODMAN ROAD BRIDGE B-53-0319</v>
      </c>
      <c r="I396" s="3" t="str">
        <f>CLEAN("CONST OPS/BRIDGE REPLACEMENT")</f>
        <v>CONST OPS/BRIDGE REPLACEMENT</v>
      </c>
      <c r="J396" s="3">
        <v>0</v>
      </c>
    </row>
    <row r="397" spans="1:10" x14ac:dyDescent="0.25">
      <c r="A397" s="3" t="str">
        <f>CLEAN("ROCK")</f>
        <v>ROCK</v>
      </c>
      <c r="B397" s="6" t="str">
        <f>CLEAN("1003-10-01")</f>
        <v>1003-10-01</v>
      </c>
      <c r="C397" s="6" t="str">
        <f>CLEAN("1003-10-77")</f>
        <v>1003-10-77</v>
      </c>
      <c r="D397" s="6">
        <v>2016</v>
      </c>
      <c r="E397" s="6" t="str">
        <f>CLEAN("IH -039")</f>
        <v>IH -039</v>
      </c>
      <c r="F397" s="4">
        <v>42535</v>
      </c>
      <c r="G397" s="3" t="str">
        <f>CLEAN("ILLINOIS STATE LINE - MADISON")</f>
        <v>ILLINOIS STATE LINE - MADISON</v>
      </c>
      <c r="H397" s="3" t="str">
        <f>CLEAN("CTH S TO STH 11")</f>
        <v>CTH S TO STH 11</v>
      </c>
      <c r="I397" s="3" t="str">
        <f>CLEAN("CONST OPS/TEMP PVMT WIDENING SB")</f>
        <v>CONST OPS/TEMP PVMT WIDENING SB</v>
      </c>
      <c r="J397" s="3">
        <v>4.5940000000000003</v>
      </c>
    </row>
    <row r="398" spans="1:10" x14ac:dyDescent="0.25">
      <c r="A398" s="3" t="str">
        <f>CLEAN("ROCK")</f>
        <v>ROCK</v>
      </c>
      <c r="B398" s="6" t="str">
        <f>CLEAN("1003-10-01")</f>
        <v>1003-10-01</v>
      </c>
      <c r="C398" s="6" t="str">
        <f>CLEAN("1003-10-78")</f>
        <v>1003-10-78</v>
      </c>
      <c r="D398" s="6">
        <v>2016</v>
      </c>
      <c r="E398" s="6" t="str">
        <f>CLEAN("IH -039")</f>
        <v>IH -039</v>
      </c>
      <c r="F398" s="4">
        <v>42535</v>
      </c>
      <c r="G398" s="3" t="str">
        <f>CLEAN("ILLINOIS STATE LINE - MADISON")</f>
        <v>ILLINOIS STATE LINE - MADISON</v>
      </c>
      <c r="H398" s="3" t="str">
        <f>CLEAN("STATELINE ROAD TO CTH S")</f>
        <v>STATELINE ROAD TO CTH S</v>
      </c>
      <c r="I398" s="3" t="str">
        <f>CLEAN("CONST OPS/TEMPORARY WIDENING SB")</f>
        <v>CONST OPS/TEMPORARY WIDENING SB</v>
      </c>
      <c r="J398" s="3">
        <v>3.3340000000000001</v>
      </c>
    </row>
    <row r="399" spans="1:10" x14ac:dyDescent="0.25">
      <c r="A399" s="3" t="str">
        <f>CLEAN("ROCK")</f>
        <v>ROCK</v>
      </c>
      <c r="B399" s="6" t="str">
        <f>CLEAN("1003-10-01")</f>
        <v>1003-10-01</v>
      </c>
      <c r="C399" s="6" t="str">
        <f>CLEAN("1003-10-82")</f>
        <v>1003-10-82</v>
      </c>
      <c r="D399" s="6">
        <v>2016</v>
      </c>
      <c r="E399" s="6" t="str">
        <f>CLEAN("IH -039")</f>
        <v>IH -039</v>
      </c>
      <c r="F399" s="4">
        <v>42535</v>
      </c>
      <c r="G399" s="3" t="str">
        <f>CLEAN("ILLINOIS STATE LINE - MADISON")</f>
        <v>ILLINOIS STATE LINE - MADISON</v>
      </c>
      <c r="H399" s="3" t="str">
        <f>CLEAN("STATELINE RD BRIDGE B-53-0325")</f>
        <v>STATELINE RD BRIDGE B-53-0325</v>
      </c>
      <c r="I399" s="3" t="str">
        <f>CLEAN("CONST OPS/BRIDGE REPLACEMENT")</f>
        <v>CONST OPS/BRIDGE REPLACEMENT</v>
      </c>
      <c r="J399" s="3">
        <v>0</v>
      </c>
    </row>
    <row r="400" spans="1:10" x14ac:dyDescent="0.25">
      <c r="A400" s="3" t="str">
        <f>CLEAN("ROCK")</f>
        <v>ROCK</v>
      </c>
      <c r="B400" s="6" t="str">
        <f>CLEAN("1003-10-01")</f>
        <v>1003-10-01</v>
      </c>
      <c r="C400" s="6" t="str">
        <f>CLEAN("1003-11-70")</f>
        <v>1003-11-70</v>
      </c>
      <c r="D400" s="6">
        <v>2016</v>
      </c>
      <c r="E400" s="6" t="str">
        <f>CLEAN("IH -039")</f>
        <v>IH -039</v>
      </c>
      <c r="F400" s="4">
        <v>42546</v>
      </c>
      <c r="G400" s="3" t="str">
        <f>CLEAN("ILLINOIS STATE LINE - MADISON")</f>
        <v>ILLINOIS STATE LINE - MADISON</v>
      </c>
      <c r="H400" s="3" t="str">
        <f>CLEAN("STH 11  AVALON ROAD INTERCHANGE")</f>
        <v>STH 11  AVALON ROAD INTERCHANGE</v>
      </c>
      <c r="I400" s="3" t="str">
        <f>CLEAN("ITS PO 1003-10-72/FY 2016")</f>
        <v>ITS PO 1003-10-72/FY 2016</v>
      </c>
      <c r="J400" s="3">
        <v>0</v>
      </c>
    </row>
    <row r="401" spans="1:10" x14ac:dyDescent="0.25">
      <c r="A401" s="3" t="str">
        <f>CLEAN("ROCK")</f>
        <v>ROCK</v>
      </c>
      <c r="B401" s="6" t="str">
        <f>CLEAN("1005-10-01")</f>
        <v>1005-10-01</v>
      </c>
      <c r="C401" s="6" t="str">
        <f>CLEAN("1005-10-86")</f>
        <v>1005-10-86</v>
      </c>
      <c r="D401" s="6">
        <v>2016</v>
      </c>
      <c r="E401" s="6" t="str">
        <f>CLEAN("IH -039")</f>
        <v>IH -039</v>
      </c>
      <c r="F401" s="4">
        <v>42546</v>
      </c>
      <c r="G401" s="3" t="str">
        <f>CLEAN("ILLINOIS STATE LINE - MADISON")</f>
        <v>ILLINOIS STATE LINE - MADISON</v>
      </c>
      <c r="H401" s="3" t="str">
        <f>CLEAN("CTH O TO KENNEDY ROAD")</f>
        <v>CTH O TO KENNEDY ROAD</v>
      </c>
      <c r="I401" s="3" t="str">
        <f>CLEAN("ITS PO 1005-10-73/FY 2016")</f>
        <v>ITS PO 1005-10-73/FY 2016</v>
      </c>
      <c r="J401" s="3">
        <v>0</v>
      </c>
    </row>
    <row r="402" spans="1:10" x14ac:dyDescent="0.25">
      <c r="A402" s="3" t="str">
        <f>CLEAN("ROCK")</f>
        <v>ROCK</v>
      </c>
      <c r="B402" s="6" t="str">
        <f>CLEAN("5569-00-02")</f>
        <v>5569-00-02</v>
      </c>
      <c r="C402" s="6" t="str">
        <f>CLEAN("5569-00-80")</f>
        <v>5569-00-80</v>
      </c>
      <c r="D402" s="6">
        <v>2016</v>
      </c>
      <c r="E402" s="6" t="str">
        <f>CLEAN("USH-014")</f>
        <v>USH-014</v>
      </c>
      <c r="F402" s="4">
        <v>42546</v>
      </c>
      <c r="G402" s="3" t="str">
        <f>CLEAN("EVANSVILLE - JANESVILLE")</f>
        <v>EVANSVILLE - JANESVILLE</v>
      </c>
      <c r="H402" s="3" t="str">
        <f>CLEAN("IH 39 TO STH 11")</f>
        <v>IH 39 TO STH 11</v>
      </c>
      <c r="I402" s="3" t="str">
        <f>CLEAN("TRF SIGNL PO ITEMS/5569-00-72/FY 16")</f>
        <v>TRF SIGNL PO ITEMS/5569-00-72/FY 16</v>
      </c>
      <c r="J402" s="3">
        <v>0</v>
      </c>
    </row>
    <row r="403" spans="1:10" x14ac:dyDescent="0.25">
      <c r="A403" s="3" t="str">
        <f>CLEAN("ROCK")</f>
        <v>ROCK</v>
      </c>
      <c r="B403" s="6" t="str">
        <f>CLEAN("1005-10-01")</f>
        <v>1005-10-01</v>
      </c>
      <c r="C403" s="6" t="str">
        <f>CLEAN("1005-10-75")</f>
        <v>1005-10-75</v>
      </c>
      <c r="D403" s="6">
        <v>2017</v>
      </c>
      <c r="E403" s="6" t="str">
        <f>CLEAN("IH -039")</f>
        <v>IH -039</v>
      </c>
      <c r="F403" s="4">
        <v>42808</v>
      </c>
      <c r="G403" s="3" t="str">
        <f>CLEAN("ILLINOIS STATE LINE - MADISON")</f>
        <v>ILLINOIS STATE LINE - MADISON</v>
      </c>
      <c r="H403" s="3" t="str">
        <f>CLEAN("MANOGUE ROAD BRIDGE/APPRS B-53-0350")</f>
        <v>MANOGUE ROAD BRIDGE/APPRS B-53-0350</v>
      </c>
      <c r="I403" s="3" t="str">
        <f>CLEAN("CONST OPS/BRIDGE REPLACEMENT")</f>
        <v>CONST OPS/BRIDGE REPLACEMENT</v>
      </c>
      <c r="J403" s="3">
        <v>0.34799999999999998</v>
      </c>
    </row>
    <row r="404" spans="1:10" x14ac:dyDescent="0.25">
      <c r="A404" s="3" t="str">
        <f>CLEAN("ROCK")</f>
        <v>ROCK</v>
      </c>
      <c r="B404" s="6" t="str">
        <f>CLEAN("1003-10-01")</f>
        <v>1003-10-01</v>
      </c>
      <c r="C404" s="6" t="str">
        <f>CLEAN("1003-10-99")</f>
        <v>1003-10-99</v>
      </c>
      <c r="D404" s="6">
        <v>2017</v>
      </c>
      <c r="E404" s="6" t="str">
        <f>CLEAN("IH -039")</f>
        <v>IH -039</v>
      </c>
      <c r="F404" s="4">
        <v>42819</v>
      </c>
      <c r="G404" s="3" t="str">
        <f>CLEAN("ILLINOIS STATE LINE - MADISON")</f>
        <v>ILLINOIS STATE LINE - MADISON</v>
      </c>
      <c r="H404" s="3" t="str">
        <f>CLEAN("ILLINOIS STATE LINE - E. RACINE ST")</f>
        <v>ILLINOIS STATE LINE - E. RACINE ST</v>
      </c>
      <c r="I404" s="3" t="str">
        <f>CLEAN("FST SOUTH SEGMENT/FY 2017")</f>
        <v>FST SOUTH SEGMENT/FY 2017</v>
      </c>
      <c r="J404" s="3">
        <v>0</v>
      </c>
    </row>
    <row r="405" spans="1:10" x14ac:dyDescent="0.25">
      <c r="A405" s="3" t="str">
        <f>CLEAN("ROCK")</f>
        <v>ROCK</v>
      </c>
      <c r="B405" s="6" t="str">
        <f>CLEAN("1005-10-01")</f>
        <v>1005-10-01</v>
      </c>
      <c r="C405" s="6" t="str">
        <f>CLEAN("1005-10-99")</f>
        <v>1005-10-99</v>
      </c>
      <c r="D405" s="6">
        <v>2017</v>
      </c>
      <c r="E405" s="6" t="str">
        <f>CLEAN("IH -039")</f>
        <v>IH -039</v>
      </c>
      <c r="F405" s="4">
        <v>42819</v>
      </c>
      <c r="G405" s="3" t="str">
        <f>CLEAN("ILLINOIS STATE LINE - MADISON")</f>
        <v>ILLINOIS STATE LINE - MADISON</v>
      </c>
      <c r="H405" s="3" t="str">
        <f>CLEAN("E. RACINE ST - S. DANE COUNTY LINE")</f>
        <v>E. RACINE ST - S. DANE COUNTY LINE</v>
      </c>
      <c r="I405" s="3" t="str">
        <f>CLEAN("FST CENTRAL SEGMENT/FY 2017")</f>
        <v>FST CENTRAL SEGMENT/FY 2017</v>
      </c>
      <c r="J405" s="3">
        <v>0</v>
      </c>
    </row>
    <row r="406" spans="1:10" x14ac:dyDescent="0.25">
      <c r="A406" s="3" t="str">
        <f>CLEAN("ROCK")</f>
        <v>ROCK</v>
      </c>
      <c r="B406" s="6" t="str">
        <f>CLEAN("1001-10-12")</f>
        <v>1001-10-12</v>
      </c>
      <c r="C406" s="6" t="str">
        <f>CLEAN("1001-10-74")</f>
        <v>1001-10-74</v>
      </c>
      <c r="D406" s="6">
        <v>2017</v>
      </c>
      <c r="E406" s="6" t="str">
        <f>CLEAN("IH -039")</f>
        <v>IH -039</v>
      </c>
      <c r="F406" s="4">
        <v>42911</v>
      </c>
      <c r="G406" s="3" t="str">
        <f>CLEAN("ILLINOIS STATE LINE - MADISON")</f>
        <v>ILLINOIS STATE LINE - MADISON</v>
      </c>
      <c r="H406" s="3" t="str">
        <f>CLEAN("ILLINOIS STATE LINE - MADISON")</f>
        <v>ILLINOIS STATE LINE - MADISON</v>
      </c>
      <c r="I406" s="3" t="str">
        <f>CLEAN("ITS INCIDENTAL PO ITEMS FY 2017")</f>
        <v>ITS INCIDENTAL PO ITEMS FY 2017</v>
      </c>
      <c r="J406" s="3">
        <v>0</v>
      </c>
    </row>
    <row r="407" spans="1:10" x14ac:dyDescent="0.25">
      <c r="A407" s="3" t="str">
        <f>CLEAN("ROCK")</f>
        <v>ROCK</v>
      </c>
      <c r="B407" s="6" t="str">
        <f>CLEAN("1003-10-01")</f>
        <v>1003-10-01</v>
      </c>
      <c r="C407" s="6" t="str">
        <f>CLEAN("1003-10-84")</f>
        <v>1003-10-84</v>
      </c>
      <c r="D407" s="6">
        <v>2017</v>
      </c>
      <c r="E407" s="6" t="str">
        <f>CLEAN("IH -039")</f>
        <v>IH -039</v>
      </c>
      <c r="F407" s="4">
        <v>42927</v>
      </c>
      <c r="G407" s="3" t="str">
        <f>CLEAN("ILLINOIS STATE LINE - MADISON")</f>
        <v>ILLINOIS STATE LINE - MADISON</v>
      </c>
      <c r="H407" s="3" t="str">
        <f>CLEAN("STH 11 TO CTH O")</f>
        <v>STH 11 TO CTH O</v>
      </c>
      <c r="I407" s="3" t="str">
        <f>CLEAN("CONST OPS/RECSTE PAVEMENT/STRUCTURE")</f>
        <v>CONST OPS/RECSTE PAVEMENT/STRUCTURE</v>
      </c>
      <c r="J407" s="3">
        <v>1.1879999999999999</v>
      </c>
    </row>
    <row r="408" spans="1:10" x14ac:dyDescent="0.25">
      <c r="A408" s="3" t="str">
        <f>CLEAN("ROCK")</f>
        <v>ROCK</v>
      </c>
      <c r="B408" s="6" t="str">
        <f>CLEAN("1005-10-01")</f>
        <v>1005-10-01</v>
      </c>
      <c r="C408" s="6" t="str">
        <f>CLEAN("1005-10-76")</f>
        <v>1005-10-76</v>
      </c>
      <c r="D408" s="6">
        <v>2017</v>
      </c>
      <c r="E408" s="6" t="str">
        <f>CLEAN("IH -039")</f>
        <v>IH -039</v>
      </c>
      <c r="F408" s="4">
        <v>42927</v>
      </c>
      <c r="G408" s="3" t="str">
        <f>CLEAN("ILLINOIS STATE LINE - MADISON")</f>
        <v>ILLINOIS STATE LINE - MADISON</v>
      </c>
      <c r="H408" s="3" t="str">
        <f>CLEAN("CTH O TO USH 14 INTERCHANGE NORTH")</f>
        <v>CTH O TO USH 14 INTERCHANGE NORTH</v>
      </c>
      <c r="I408" s="3" t="str">
        <f>CLEAN("CONST OPS/RECSTE PAVEMENT/STRUCTURE")</f>
        <v>CONST OPS/RECSTE PAVEMENT/STRUCTURE</v>
      </c>
      <c r="J408" s="3">
        <v>2.819</v>
      </c>
    </row>
    <row r="409" spans="1:10" x14ac:dyDescent="0.25">
      <c r="A409" s="3" t="str">
        <f>CLEAN("ROCK")</f>
        <v>ROCK</v>
      </c>
      <c r="B409" s="6" t="str">
        <f>CLEAN("1005-10-01")</f>
        <v>1005-10-01</v>
      </c>
      <c r="C409" s="6" t="str">
        <f>CLEAN("1005-11-71")</f>
        <v>1005-11-71</v>
      </c>
      <c r="D409" s="6">
        <v>2017</v>
      </c>
      <c r="E409" s="6" t="str">
        <f>CLEAN("IH -039")</f>
        <v>IH -039</v>
      </c>
      <c r="F409" s="4">
        <v>42927</v>
      </c>
      <c r="G409" s="3" t="str">
        <f>CLEAN("ILLINOIS STATE LINE - MADISON")</f>
        <v>ILLINOIS STATE LINE - MADISON</v>
      </c>
      <c r="H409" s="3" t="str">
        <f>CLEAN("RACINE ST INCH/MIDLAND CT PARK&amp;RIDE")</f>
        <v>RACINE ST INCH/MIDLAND CT PARK&amp;RIDE</v>
      </c>
      <c r="I409" s="3" t="str">
        <f>CLEAN("CONST OPS/MISC/MIDLAND CT PARK&amp;RIDE")</f>
        <v>CONST OPS/MISC/MIDLAND CT PARK&amp;RIDE</v>
      </c>
      <c r="J409" s="3">
        <v>0</v>
      </c>
    </row>
    <row r="410" spans="1:10" x14ac:dyDescent="0.25">
      <c r="A410" s="3" t="str">
        <f>CLEAN("ROCK")</f>
        <v>ROCK</v>
      </c>
      <c r="B410" s="6" t="str">
        <f>CLEAN("1003-10-01")</f>
        <v>1003-10-01</v>
      </c>
      <c r="C410" s="6" t="str">
        <f>CLEAN("1003-10-76")</f>
        <v>1003-10-76</v>
      </c>
      <c r="D410" s="6">
        <v>2018</v>
      </c>
      <c r="E410" s="6" t="str">
        <f>CLEAN("IH -039")</f>
        <v>IH -039</v>
      </c>
      <c r="F410" s="4">
        <v>42955</v>
      </c>
      <c r="G410" s="3" t="str">
        <f>CLEAN("ILLINOIS STATE LINE - MADISON")</f>
        <v>ILLINOIS STATE LINE - MADISON</v>
      </c>
      <c r="H410" s="3" t="str">
        <f>CLEAN("WOODMAN ROAD TO STH 11")</f>
        <v>WOODMAN ROAD TO STH 11</v>
      </c>
      <c r="I410" s="3" t="str">
        <f>CLEAN("CONST OPS/RECSTE PAVEMENT/STRUCTURE")</f>
        <v>CONST OPS/RECSTE PAVEMENT/STRUCTURE</v>
      </c>
      <c r="J410" s="3">
        <v>1.7070000000000001</v>
      </c>
    </row>
    <row r="411" spans="1:10" x14ac:dyDescent="0.25">
      <c r="A411" s="3" t="str">
        <f>CLEAN("ROCK")</f>
        <v>ROCK</v>
      </c>
      <c r="B411" s="6" t="str">
        <f>CLEAN("1003-10-01")</f>
        <v>1003-10-01</v>
      </c>
      <c r="C411" s="6" t="str">
        <f>CLEAN("1003-10-81")</f>
        <v>1003-10-81</v>
      </c>
      <c r="D411" s="6">
        <v>2018</v>
      </c>
      <c r="E411" s="6" t="str">
        <f>CLEAN("IH -039")</f>
        <v>IH -039</v>
      </c>
      <c r="F411" s="4">
        <v>42955</v>
      </c>
      <c r="G411" s="3" t="str">
        <f>CLEAN("ILLINOIS STATE LINE - MADISON")</f>
        <v>ILLINOIS STATE LINE - MADISON</v>
      </c>
      <c r="H411" s="3" t="str">
        <f>CLEAN("HART ROAD TO WOODMAN ROAD")</f>
        <v>HART ROAD TO WOODMAN ROAD</v>
      </c>
      <c r="I411" s="3" t="str">
        <f>CLEAN("CONST OPS/RECSTE PAVEMENT/STRUCTURE")</f>
        <v>CONST OPS/RECSTE PAVEMENT/STRUCTURE</v>
      </c>
      <c r="J411" s="3">
        <v>4.2990000000000004</v>
      </c>
    </row>
    <row r="412" spans="1:10" x14ac:dyDescent="0.25">
      <c r="A412" s="3" t="str">
        <f>CLEAN("ROCK")</f>
        <v>ROCK</v>
      </c>
      <c r="B412" s="6" t="str">
        <f>CLEAN("1005-10-01")</f>
        <v>1005-10-01</v>
      </c>
      <c r="C412" s="6" t="str">
        <f>CLEAN("1005-11-81")</f>
        <v>1005-11-81</v>
      </c>
      <c r="D412" s="6">
        <v>2018</v>
      </c>
      <c r="E412" s="6" t="str">
        <f>CLEAN("LOC-STR")</f>
        <v>LOC-STR</v>
      </c>
      <c r="F412" s="4">
        <v>43094</v>
      </c>
      <c r="G412" s="3" t="str">
        <f>CLEAN("ILLINOIS STATE LINE - MADISON")</f>
        <v>ILLINOIS STATE LINE - MADISON</v>
      </c>
      <c r="H412" s="3" t="str">
        <f>CLEAN("EAST RICHARDSON SPRINGS ROAD")</f>
        <v>EAST RICHARDSON SPRINGS ROAD</v>
      </c>
      <c r="I412" s="3" t="str">
        <f>CLEAN("CCO 27/1005-10-72/REPLACE CULVERT")</f>
        <v>CCO 27/1005-10-72/REPLACE CULVERT</v>
      </c>
      <c r="J412" s="3">
        <v>0</v>
      </c>
    </row>
    <row r="413" spans="1:10" x14ac:dyDescent="0.25">
      <c r="A413" s="3" t="str">
        <f>CLEAN("ROCK")</f>
        <v>ROCK</v>
      </c>
      <c r="B413" s="6" t="str">
        <f>CLEAN("1005-10-01")</f>
        <v>1005-10-01</v>
      </c>
      <c r="C413" s="6" t="str">
        <f>CLEAN("1005-10-81")</f>
        <v>1005-10-81</v>
      </c>
      <c r="D413" s="6">
        <v>2018</v>
      </c>
      <c r="E413" s="6" t="str">
        <f>CLEAN("IH -039")</f>
        <v>IH -039</v>
      </c>
      <c r="F413" s="4">
        <v>43172</v>
      </c>
      <c r="G413" s="3" t="str">
        <f>CLEAN("ILLINOIS STATE LINE - MADISON")</f>
        <v>ILLINOIS STATE LINE - MADISON</v>
      </c>
      <c r="H413" s="3" t="str">
        <f>CLEAN("KENNEDY ROAD TO KNUTSON ROAD")</f>
        <v>KENNEDY ROAD TO KNUTSON ROAD</v>
      </c>
      <c r="I413" s="3" t="str">
        <f>CLEAN("CONST OPS/RECSTE/TEMP STAGING/STRUC")</f>
        <v>CONST OPS/RECSTE/TEMP STAGING/STRUC</v>
      </c>
      <c r="J413" s="3">
        <v>4.3659999999999997</v>
      </c>
    </row>
    <row r="414" spans="1:10" x14ac:dyDescent="0.25">
      <c r="A414" s="3" t="str">
        <f>CLEAN("ROCK")</f>
        <v>ROCK</v>
      </c>
      <c r="B414" s="6" t="str">
        <f>CLEAN("1005-10-01")</f>
        <v>1005-10-01</v>
      </c>
      <c r="C414" s="6" t="str">
        <f>CLEAN("1005-11-95")</f>
        <v>1005-11-95</v>
      </c>
      <c r="D414" s="6">
        <v>2018</v>
      </c>
      <c r="E414" s="6" t="str">
        <f>CLEAN("IH -039")</f>
        <v>IH -039</v>
      </c>
      <c r="F414" s="4">
        <v>43184</v>
      </c>
      <c r="G414" s="3" t="str">
        <f>CLEAN("ILLINOIS STATE LINE - MADISON")</f>
        <v>ILLINOIS STATE LINE - MADISON</v>
      </c>
      <c r="H414" s="3" t="str">
        <f>CLEAN("E. RACINE ST - S. DANE COUNTY LINE")</f>
        <v>E. RACINE ST - S. DANE COUNTY LINE</v>
      </c>
      <c r="I414" s="3" t="str">
        <f>CLEAN("FST CENTRAL SEGMENT/FY 2018")</f>
        <v>FST CENTRAL SEGMENT/FY 2018</v>
      </c>
      <c r="J414" s="3">
        <v>0</v>
      </c>
    </row>
    <row r="415" spans="1:10" x14ac:dyDescent="0.25">
      <c r="A415" s="3" t="str">
        <f>CLEAN("ROCK")</f>
        <v>ROCK</v>
      </c>
      <c r="B415" s="6" t="str">
        <f>CLEAN("1003-10-01")</f>
        <v>1003-10-01</v>
      </c>
      <c r="C415" s="6" t="str">
        <f>CLEAN("1003-12-90")</f>
        <v>1003-12-90</v>
      </c>
      <c r="D415" s="6">
        <v>2018</v>
      </c>
      <c r="E415" s="6" t="str">
        <f>CLEAN("IH -039")</f>
        <v>IH -039</v>
      </c>
      <c r="F415" s="4">
        <v>43215</v>
      </c>
      <c r="G415" s="3" t="str">
        <f>CLEAN("ILLINOIS STATE LINE - MADISON")</f>
        <v>ILLINOIS STATE LINE - MADISON</v>
      </c>
      <c r="H415" s="3" t="str">
        <f>CLEAN("ILLINOIS STATE LINE - E. RACINE ST")</f>
        <v>ILLINOIS STATE LINE - E. RACINE ST</v>
      </c>
      <c r="I415" s="3" t="str">
        <f>CLEAN("FST SOUTH SEGMENT/FY 2018")</f>
        <v>FST SOUTH SEGMENT/FY 2018</v>
      </c>
      <c r="J415" s="3">
        <v>0</v>
      </c>
    </row>
    <row r="416" spans="1:10" x14ac:dyDescent="0.25">
      <c r="A416" s="3" t="str">
        <f>CLEAN("ROCK")</f>
        <v>ROCK</v>
      </c>
      <c r="B416" s="6" t="str">
        <f>CLEAN("1001-10-12")</f>
        <v>1001-10-12</v>
      </c>
      <c r="C416" s="6" t="str">
        <f>CLEAN("1001-10-79")</f>
        <v>1001-10-79</v>
      </c>
      <c r="D416" s="6">
        <v>2018</v>
      </c>
      <c r="E416" s="6" t="str">
        <f>CLEAN("IH -039")</f>
        <v>IH -039</v>
      </c>
      <c r="F416" s="4">
        <v>43245</v>
      </c>
      <c r="G416" s="3" t="str">
        <f>CLEAN("ILLINOIS STATE LINE - MADISON")</f>
        <v>ILLINOIS STATE LINE - MADISON</v>
      </c>
      <c r="H416" s="3" t="str">
        <f>CLEAN("ILLINOIS STATE LINE - MADISON")</f>
        <v>ILLINOIS STATE LINE - MADISON</v>
      </c>
      <c r="I416" s="3" t="str">
        <f>CLEAN("ITS INCIDENTAL PO ITEMS FY 2018")</f>
        <v>ITS INCIDENTAL PO ITEMS FY 2018</v>
      </c>
      <c r="J416" s="3">
        <v>44.15</v>
      </c>
    </row>
    <row r="417" spans="1:10" x14ac:dyDescent="0.25">
      <c r="A417" s="3" t="str">
        <f>CLEAN("ROCK")</f>
        <v>ROCK</v>
      </c>
      <c r="B417" s="6" t="str">
        <f>CLEAN("1003-10-01")</f>
        <v>1003-10-01</v>
      </c>
      <c r="C417" s="6" t="str">
        <f>CLEAN("1003-10-79")</f>
        <v>1003-10-79</v>
      </c>
      <c r="D417" s="6">
        <v>2018</v>
      </c>
      <c r="E417" s="6" t="str">
        <f>CLEAN("IH -039")</f>
        <v>IH -039</v>
      </c>
      <c r="F417" s="4">
        <v>43263</v>
      </c>
      <c r="G417" s="3" t="str">
        <f>CLEAN("ILLINOIS STATE LINE - MADISON")</f>
        <v>ILLINOIS STATE LINE - MADISON</v>
      </c>
      <c r="H417" s="3" t="str">
        <f>CLEAN("IH 43 INTERCHANGE NEW ALIGNMENT")</f>
        <v>IH 43 INTERCHANGE NEW ALIGNMENT</v>
      </c>
      <c r="I417" s="3" t="str">
        <f>CLEAN("CONST OPS/INTERCHANGE IMPROVEMENTS")</f>
        <v>CONST OPS/INTERCHANGE IMPROVEMENTS</v>
      </c>
      <c r="J417" s="3">
        <v>0.60399999999999998</v>
      </c>
    </row>
    <row r="418" spans="1:10" x14ac:dyDescent="0.25">
      <c r="A418" s="3" t="str">
        <f>CLEAN("ROCK")</f>
        <v>ROCK</v>
      </c>
      <c r="B418" s="6" t="str">
        <f>CLEAN("1003-10-01")</f>
        <v>1003-10-01</v>
      </c>
      <c r="C418" s="6" t="str">
        <f>CLEAN("1003-11-71")</f>
        <v>1003-11-71</v>
      </c>
      <c r="D418" s="6">
        <v>2018</v>
      </c>
      <c r="E418" s="6" t="str">
        <f>CLEAN("IH -039")</f>
        <v>IH -039</v>
      </c>
      <c r="F418" s="4">
        <v>43263</v>
      </c>
      <c r="G418" s="3" t="str">
        <f>CLEAN("ILLINOIS STATE LINE - MADISON")</f>
        <v>ILLINOIS STATE LINE - MADISON</v>
      </c>
      <c r="H418" s="3" t="str">
        <f>CLEAN("IH 43 INTERCHANGE SOUTH &amp; EAST LEG")</f>
        <v>IH 43 INTERCHANGE SOUTH &amp; EAST LEG</v>
      </c>
      <c r="I418" s="3" t="str">
        <f>CLEAN("CONST OPS/INTERCHANGE IMPROVEMENTS")</f>
        <v>CONST OPS/INTERCHANGE IMPROVEMENTS</v>
      </c>
      <c r="J418" s="3">
        <v>2.2530000000000001</v>
      </c>
    </row>
    <row r="419" spans="1:10" x14ac:dyDescent="0.25">
      <c r="A419" s="3" t="str">
        <f>CLEAN("ROCK")</f>
        <v>ROCK</v>
      </c>
      <c r="B419" s="6" t="str">
        <f>CLEAN("1001-10-12")</f>
        <v>1001-10-12</v>
      </c>
      <c r="C419" s="6" t="str">
        <f>CLEAN("1001-10-75")</f>
        <v>1001-10-75</v>
      </c>
      <c r="D419" s="6">
        <v>2018</v>
      </c>
      <c r="E419" s="6" t="str">
        <f>CLEAN("IH -039")</f>
        <v>IH -039</v>
      </c>
      <c r="F419" s="4">
        <v>43276</v>
      </c>
      <c r="G419" s="3" t="str">
        <f>CLEAN("ILLINOIS STATE LINE - MADISON")</f>
        <v>ILLINOIS STATE LINE - MADISON</v>
      </c>
      <c r="H419" s="3" t="str">
        <f>CLEAN("ILLINOIS STATE LINE - MADISON")</f>
        <v>ILLINOIS STATE LINE - MADISON</v>
      </c>
      <c r="I419" s="3" t="str">
        <f>CLEAN("ITS INCIDENTAL PO ITEMS FY 2018")</f>
        <v>ITS INCIDENTAL PO ITEMS FY 2018</v>
      </c>
      <c r="J419" s="3">
        <v>0</v>
      </c>
    </row>
    <row r="420" spans="1:10" x14ac:dyDescent="0.25">
      <c r="A420" s="3" t="str">
        <f>CLEAN("ROCK")</f>
        <v>ROCK</v>
      </c>
      <c r="B420" s="6" t="str">
        <f>CLEAN("1005-10-01")</f>
        <v>1005-10-01</v>
      </c>
      <c r="C420" s="6" t="str">
        <f>CLEAN("1005-10-77")</f>
        <v>1005-10-77</v>
      </c>
      <c r="D420" s="6">
        <v>2019</v>
      </c>
      <c r="E420" s="6" t="str">
        <f>CLEAN("IH -039")</f>
        <v>IH -039</v>
      </c>
      <c r="F420" s="4">
        <v>43445</v>
      </c>
      <c r="G420" s="3" t="str">
        <f>CLEAN("ILLINOIS STATE LINE - MADISON")</f>
        <v>ILLINOIS STATE LINE - MADISON</v>
      </c>
      <c r="H420" s="3" t="str">
        <f>CLEAN("USH 14 INT NORTH TO KENNEDY ROAD")</f>
        <v>USH 14 INT NORTH TO KENNEDY ROAD</v>
      </c>
      <c r="I420" s="3" t="str">
        <f>CLEAN("CONST OPS/RECSTE/PVMNT/STRCT/INTRCH")</f>
        <v>CONST OPS/RECSTE/PVMNT/STRCT/INTRCH</v>
      </c>
      <c r="J420" s="3">
        <v>2.6139999999999999</v>
      </c>
    </row>
    <row r="421" spans="1:10" x14ac:dyDescent="0.25">
      <c r="A421" s="3" t="str">
        <f>CLEAN("ROCK")</f>
        <v>ROCK</v>
      </c>
      <c r="B421" s="6" t="str">
        <f>CLEAN("1005-10-01")</f>
        <v>1005-10-01</v>
      </c>
      <c r="C421" s="6" t="str">
        <f>CLEAN("1005-10-83")</f>
        <v>1005-10-83</v>
      </c>
      <c r="D421" s="6">
        <v>2019</v>
      </c>
      <c r="E421" s="6" t="str">
        <f>CLEAN("IH -039")</f>
        <v>IH -039</v>
      </c>
      <c r="F421" s="4">
        <v>43445</v>
      </c>
      <c r="G421" s="3" t="str">
        <f>CLEAN("ILLINOIS STATE LINE - MADISON")</f>
        <v>ILLINOIS STATE LINE - MADISON</v>
      </c>
      <c r="H421" s="3" t="str">
        <f>CLEAN("USH 14 INT NORTH TO KENNEDY ROAD")</f>
        <v>USH 14 INT NORTH TO KENNEDY ROAD</v>
      </c>
      <c r="I421" s="3" t="str">
        <f>CLEAN("CONST OPS/WATER MAIN")</f>
        <v>CONST OPS/WATER MAIN</v>
      </c>
      <c r="J421" s="3">
        <v>0</v>
      </c>
    </row>
    <row r="422" spans="1:10" x14ac:dyDescent="0.25">
      <c r="A422" s="3" t="str">
        <f>CLEAN("ROCK")</f>
        <v>ROCK</v>
      </c>
      <c r="B422" s="6" t="str">
        <f>CLEAN("1005-10-01")</f>
        <v>1005-10-01</v>
      </c>
      <c r="C422" s="6" t="str">
        <f>CLEAN("1005-10-87")</f>
        <v>1005-10-87</v>
      </c>
      <c r="D422" s="6">
        <v>2019</v>
      </c>
      <c r="E422" s="6" t="str">
        <f>CLEAN("IH -039")</f>
        <v>IH -039</v>
      </c>
      <c r="F422" s="4">
        <v>43445</v>
      </c>
      <c r="G422" s="3" t="str">
        <f>CLEAN("ILLINOIS STATE LINE - MADISON")</f>
        <v>ILLINOIS STATE LINE - MADISON</v>
      </c>
      <c r="H422" s="3" t="str">
        <f>CLEAN("USH 14 INTERCHANGE")</f>
        <v>USH 14 INTERCHANGE</v>
      </c>
      <c r="I422" s="3" t="str">
        <f>CLEAN("CONST OPS/RECSTE PVMNT/INTRCH")</f>
        <v>CONST OPS/RECSTE PVMNT/INTRCH</v>
      </c>
      <c r="J422" s="3">
        <v>0.66300000000000003</v>
      </c>
    </row>
    <row r="423" spans="1:10" x14ac:dyDescent="0.25">
      <c r="A423" s="3" t="str">
        <f>CLEAN("ROCK")</f>
        <v>ROCK</v>
      </c>
      <c r="B423" s="6" t="str">
        <f>CLEAN("5569-00-01")</f>
        <v>5569-00-01</v>
      </c>
      <c r="C423" s="6" t="str">
        <f>CLEAN("5569-00-71")</f>
        <v>5569-00-71</v>
      </c>
      <c r="D423" s="6">
        <v>2019</v>
      </c>
      <c r="E423" s="6" t="str">
        <f>CLEAN("USH-014")</f>
        <v>USH-014</v>
      </c>
      <c r="F423" s="4">
        <v>43445</v>
      </c>
      <c r="G423" s="3" t="str">
        <f>CLEAN("HUMES ROAD  C JANESVILLE")</f>
        <v>HUMES ROAD  C JANESVILLE</v>
      </c>
      <c r="H423" s="3" t="str">
        <f>CLEAN("LEXINGTON STREET TO PONTIAC DRIVE")</f>
        <v>LEXINGTON STREET TO PONTIAC DRIVE</v>
      </c>
      <c r="I423" s="3" t="str">
        <f>CLEAN("CONST OPS/GRADE  BASE &amp; SURFACE")</f>
        <v>CONST OPS/GRADE  BASE &amp; SURFACE</v>
      </c>
      <c r="J423" s="3">
        <v>0.25600000000000001</v>
      </c>
    </row>
    <row r="424" spans="1:10" x14ac:dyDescent="0.25">
      <c r="A424" s="3" t="str">
        <f>CLEAN("ROCK")</f>
        <v>ROCK</v>
      </c>
      <c r="B424" s="6" t="str">
        <f>CLEAN("1005-10-01")</f>
        <v>1005-10-01</v>
      </c>
      <c r="C424" s="6" t="str">
        <f>CLEAN("1005-10-78")</f>
        <v>1005-10-78</v>
      </c>
      <c r="D424" s="6">
        <v>2019</v>
      </c>
      <c r="E424" s="6" t="str">
        <f>CLEAN("IH -039")</f>
        <v>IH -039</v>
      </c>
      <c r="F424" s="4">
        <v>43536</v>
      </c>
      <c r="G424" s="3" t="str">
        <f>CLEAN("ILLINOIS STATE LINE - MADISON")</f>
        <v>ILLINOIS STATE LINE - MADISON</v>
      </c>
      <c r="H424" s="3" t="str">
        <f>CLEAN("KENNEDY ROAD TO KNUTSON ROAD")</f>
        <v>KENNEDY ROAD TO KNUTSON ROAD</v>
      </c>
      <c r="I424" s="3" t="str">
        <f>CLEAN("CONST OPS/RECSTE PAVEMENT/STRUCTURE")</f>
        <v>CONST OPS/RECSTE PAVEMENT/STRUCTURE</v>
      </c>
      <c r="J424" s="3">
        <v>5.835</v>
      </c>
    </row>
    <row r="425" spans="1:10" x14ac:dyDescent="0.25">
      <c r="A425" s="3" t="str">
        <f>CLEAN("ROCK")</f>
        <v>ROCK</v>
      </c>
      <c r="B425" s="6" t="str">
        <f>CLEAN("1003-10-01")</f>
        <v>1003-10-01</v>
      </c>
      <c r="C425" s="6" t="str">
        <f>CLEAN("1003-12-91")</f>
        <v>1003-12-91</v>
      </c>
      <c r="D425" s="6">
        <v>2019</v>
      </c>
      <c r="E425" s="6" t="str">
        <f>CLEAN("IH -039")</f>
        <v>IH -039</v>
      </c>
      <c r="F425" s="4">
        <v>43580</v>
      </c>
      <c r="G425" s="3" t="str">
        <f>CLEAN("ILLINOIS STATE LINE - MADISON")</f>
        <v>ILLINOIS STATE LINE - MADISON</v>
      </c>
      <c r="H425" s="3" t="str">
        <f>CLEAN("ILLINOIS STATE LINE - E. RACINE ST")</f>
        <v>ILLINOIS STATE LINE - E. RACINE ST</v>
      </c>
      <c r="I425" s="3" t="str">
        <f>CLEAN("FST SOUTH SEGMENT/FY 2019")</f>
        <v>FST SOUTH SEGMENT/FY 2019</v>
      </c>
      <c r="J425" s="3">
        <v>0</v>
      </c>
    </row>
    <row r="426" spans="1:10" x14ac:dyDescent="0.25">
      <c r="A426" s="3" t="str">
        <f>CLEAN("ROCK")</f>
        <v>ROCK</v>
      </c>
      <c r="B426" s="6" t="str">
        <f>CLEAN("1005-10-01")</f>
        <v>1005-10-01</v>
      </c>
      <c r="C426" s="6" t="str">
        <f>CLEAN("1005-11-96")</f>
        <v>1005-11-96</v>
      </c>
      <c r="D426" s="6">
        <v>2019</v>
      </c>
      <c r="E426" s="6" t="str">
        <f>CLEAN("IH -039")</f>
        <v>IH -039</v>
      </c>
      <c r="F426" s="4">
        <v>43580</v>
      </c>
      <c r="G426" s="3" t="str">
        <f>CLEAN("ILLINOIS STATE LINE - MADISON")</f>
        <v>ILLINOIS STATE LINE - MADISON</v>
      </c>
      <c r="H426" s="3" t="str">
        <f>CLEAN("E. RACINE ST - S. DANE COUNTY LINE")</f>
        <v>E. RACINE ST - S. DANE COUNTY LINE</v>
      </c>
      <c r="I426" s="3" t="str">
        <f>CLEAN("FST CENTRAL SEGMENT/FY 2019")</f>
        <v>FST CENTRAL SEGMENT/FY 2019</v>
      </c>
      <c r="J426" s="3">
        <v>0</v>
      </c>
    </row>
    <row r="427" spans="1:10" x14ac:dyDescent="0.25">
      <c r="A427" s="3" t="str">
        <f>CLEAN("ROCK")</f>
        <v>ROCK</v>
      </c>
      <c r="B427" s="6" t="str">
        <f>CLEAN("1001-10-12")</f>
        <v>1001-10-12</v>
      </c>
      <c r="C427" s="6" t="str">
        <f>CLEAN("1001-10-76")</f>
        <v>1001-10-76</v>
      </c>
      <c r="D427" s="6">
        <v>2019</v>
      </c>
      <c r="E427" s="6" t="str">
        <f>CLEAN("IH -039")</f>
        <v>IH -039</v>
      </c>
      <c r="F427" s="4">
        <v>43641</v>
      </c>
      <c r="G427" s="3" t="str">
        <f>CLEAN("ILLINOIS STATE LINE - MADISON")</f>
        <v>ILLINOIS STATE LINE - MADISON</v>
      </c>
      <c r="H427" s="3" t="str">
        <f>CLEAN("ILLINOIS STATE LINE - MADISON")</f>
        <v>ILLINOIS STATE LINE - MADISON</v>
      </c>
      <c r="I427" s="3" t="str">
        <f>CLEAN("ITS INCIDENTAL PO ITEMS FY 2019")</f>
        <v>ITS INCIDENTAL PO ITEMS FY 2019</v>
      </c>
      <c r="J427" s="3">
        <v>44.15</v>
      </c>
    </row>
    <row r="428" spans="1:10" x14ac:dyDescent="0.25">
      <c r="A428" s="3" t="str">
        <f>CLEAN("ROCK")</f>
        <v>ROCK</v>
      </c>
      <c r="B428" s="6" t="str">
        <f>CLEAN("1001-10-12")</f>
        <v>1001-10-12</v>
      </c>
      <c r="C428" s="6" t="str">
        <f>CLEAN("1001-10-80")</f>
        <v>1001-10-80</v>
      </c>
      <c r="D428" s="6">
        <v>2019</v>
      </c>
      <c r="E428" s="6" t="str">
        <f>CLEAN("IH -039")</f>
        <v>IH -039</v>
      </c>
      <c r="F428" s="4">
        <v>43641</v>
      </c>
      <c r="G428" s="3" t="str">
        <f>CLEAN("ILLINOIS STATE LINE - MADISON")</f>
        <v>ILLINOIS STATE LINE - MADISON</v>
      </c>
      <c r="H428" s="3" t="str">
        <f>CLEAN("ILLINOIS STATE LINE - MADISON")</f>
        <v>ILLINOIS STATE LINE - MADISON</v>
      </c>
      <c r="I428" s="3" t="str">
        <f>CLEAN("ITS INCIDENTAL PO ITEMS FY 2019")</f>
        <v>ITS INCIDENTAL PO ITEMS FY 2019</v>
      </c>
      <c r="J428" s="3">
        <v>44.15</v>
      </c>
    </row>
    <row r="429" spans="1:10" x14ac:dyDescent="0.25">
      <c r="A429" s="3" t="str">
        <f>CLEAN("ROCK")</f>
        <v>ROCK</v>
      </c>
      <c r="B429" s="6" t="str">
        <f>CLEAN("1003-10-01")</f>
        <v>1003-10-01</v>
      </c>
      <c r="C429" s="6" t="str">
        <f>CLEAN("1003-11-74")</f>
        <v>1003-11-74</v>
      </c>
      <c r="D429" s="6">
        <v>2019</v>
      </c>
      <c r="E429" s="6" t="str">
        <f>CLEAN("IH -039")</f>
        <v>IH -039</v>
      </c>
      <c r="F429" s="4">
        <v>43641</v>
      </c>
      <c r="G429" s="3" t="str">
        <f>CLEAN("ILLINOIS STATE LINE - MADISON")</f>
        <v>ILLINOIS STATE LINE - MADISON</v>
      </c>
      <c r="H429" s="3" t="str">
        <f>CLEAN("HART ROAD TO WOODMAN ROAD")</f>
        <v>HART ROAD TO WOODMAN ROAD</v>
      </c>
      <c r="I429" s="3" t="str">
        <f>CLEAN("ITS PO FOR 1003-10-81/FY 19")</f>
        <v>ITS PO FOR 1003-10-81/FY 19</v>
      </c>
      <c r="J429" s="3">
        <v>4.6559999999999997</v>
      </c>
    </row>
    <row r="430" spans="1:10" x14ac:dyDescent="0.25">
      <c r="A430" s="3" t="str">
        <f>CLEAN("ROCK")</f>
        <v>ROCK</v>
      </c>
      <c r="B430" s="6" t="str">
        <f>CLEAN("1005-10-01")</f>
        <v>1005-10-01</v>
      </c>
      <c r="C430" s="6" t="str">
        <f>CLEAN("1005-11-73")</f>
        <v>1005-11-73</v>
      </c>
      <c r="D430" s="6">
        <v>2019</v>
      </c>
      <c r="E430" s="6" t="str">
        <f>CLEAN("IH -039")</f>
        <v>IH -039</v>
      </c>
      <c r="F430" s="4">
        <v>43641</v>
      </c>
      <c r="G430" s="3" t="str">
        <f>CLEAN("ILLINOIS STATE LINE - MADISON")</f>
        <v>ILLINOIS STATE LINE - MADISON</v>
      </c>
      <c r="H430" s="3" t="str">
        <f>CLEAN("CTH O TO USH 14 INTERCHANGE NORTH")</f>
        <v>CTH O TO USH 14 INTERCHANGE NORTH</v>
      </c>
      <c r="I430" s="3" t="str">
        <f>CLEAN("ITS PO ITEMS FOR 1005-10-76 FY 19")</f>
        <v>ITS PO ITEMS FOR 1005-10-76 FY 19</v>
      </c>
      <c r="J430" s="3">
        <v>0</v>
      </c>
    </row>
    <row r="431" spans="1:10" x14ac:dyDescent="0.25">
      <c r="A431" s="3" t="str">
        <f>CLEAN("ROCK")</f>
        <v>ROCK</v>
      </c>
      <c r="B431" s="6" t="str">
        <f>CLEAN("1005-10-01")</f>
        <v>1005-10-01</v>
      </c>
      <c r="C431" s="6" t="str">
        <f>CLEAN("1005-11-74")</f>
        <v>1005-11-74</v>
      </c>
      <c r="D431" s="6">
        <v>2019</v>
      </c>
      <c r="E431" s="6" t="str">
        <f>CLEAN("IH -039")</f>
        <v>IH -039</v>
      </c>
      <c r="F431" s="4">
        <v>43641</v>
      </c>
      <c r="G431" s="3" t="str">
        <f>CLEAN("ILLINOIS STATE LINE - MADISON")</f>
        <v>ILLINOIS STATE LINE - MADISON</v>
      </c>
      <c r="H431" s="3" t="str">
        <f>CLEAN("USH 14 INT NORTH TO KENNEDY ROAD")</f>
        <v>USH 14 INT NORTH TO KENNEDY ROAD</v>
      </c>
      <c r="I431" s="3" t="str">
        <f>CLEAN("TRF PO ITEMS FOR 1005-10-77 FY 19")</f>
        <v>TRF PO ITEMS FOR 1005-10-77 FY 19</v>
      </c>
      <c r="J431" s="3">
        <v>0</v>
      </c>
    </row>
    <row r="432" spans="1:10" x14ac:dyDescent="0.25">
      <c r="A432" s="3" t="str">
        <f>CLEAN("ROCK")</f>
        <v>ROCK</v>
      </c>
      <c r="B432" s="6" t="str">
        <f>CLEAN("1003-10-01")</f>
        <v>1003-10-01</v>
      </c>
      <c r="C432" s="6" t="str">
        <f>CLEAN("1003-10-80")</f>
        <v>1003-10-80</v>
      </c>
      <c r="D432" s="6">
        <v>2019</v>
      </c>
      <c r="E432" s="6" t="str">
        <f>CLEAN("IH -039")</f>
        <v>IH -039</v>
      </c>
      <c r="F432" s="4">
        <v>43655</v>
      </c>
      <c r="G432" s="3" t="str">
        <f>CLEAN("ILLINOIS STATE LINE - MADISON")</f>
        <v>ILLINOIS STATE LINE - MADISON</v>
      </c>
      <c r="H432" s="3" t="str">
        <f>CLEAN("IH 43 INTERCHANGE CORE")</f>
        <v>IH 43 INTERCHANGE CORE</v>
      </c>
      <c r="I432" s="3" t="str">
        <f>CLEAN("CONST OPS/INTERCHANGE IMPROVEMENTS")</f>
        <v>CONST OPS/INTERCHANGE IMPROVEMENTS</v>
      </c>
      <c r="J432" s="3">
        <v>2.5539999999999998</v>
      </c>
    </row>
    <row r="433" spans="1:10" x14ac:dyDescent="0.25">
      <c r="A433" s="3" t="str">
        <f>CLEAN("ROCK")</f>
        <v>ROCK</v>
      </c>
      <c r="B433" s="6" t="str">
        <f>CLEAN("1093-01-31")</f>
        <v>1093-01-31</v>
      </c>
      <c r="C433" s="6" t="str">
        <f>CLEAN("1093-01-61")</f>
        <v>1093-01-61</v>
      </c>
      <c r="D433" s="6">
        <v>2020</v>
      </c>
      <c r="E433" s="6" t="str">
        <f>CLEAN("IH -043")</f>
        <v>IH -043</v>
      </c>
      <c r="F433" s="4">
        <v>43872</v>
      </c>
      <c r="G433" s="3" t="str">
        <f>CLEAN("BELOIT - ELKHORN")</f>
        <v>BELOIT - ELKHORN</v>
      </c>
      <c r="H433" s="3" t="str">
        <f>CLEAN("IH 39 TO E COUNTY LINE")</f>
        <v>IH 39 TO E COUNTY LINE</v>
      </c>
      <c r="I433" s="3" t="str">
        <f>CLEAN("CONST OPS/ROUT&amp;SEAL/PM ELIGIBLE")</f>
        <v>CONST OPS/ROUT&amp;SEAL/PM ELIGIBLE</v>
      </c>
      <c r="J433" s="3">
        <v>9.6850000000000005</v>
      </c>
    </row>
    <row r="434" spans="1:10" x14ac:dyDescent="0.25">
      <c r="A434" s="3" t="str">
        <f>CLEAN("ROCK")</f>
        <v>ROCK</v>
      </c>
      <c r="B434" s="6" t="str">
        <f>CLEAN("1003-10-01")</f>
        <v>1003-10-01</v>
      </c>
      <c r="C434" s="6" t="str">
        <f>CLEAN("1003-11-75")</f>
        <v>1003-11-75</v>
      </c>
      <c r="D434" s="6">
        <v>2020</v>
      </c>
      <c r="E434" s="6" t="str">
        <f>CLEAN("IH -039")</f>
        <v>IH -039</v>
      </c>
      <c r="F434" s="4">
        <v>43915</v>
      </c>
      <c r="G434" s="3" t="str">
        <f>CLEAN("ILLINOIS STATE LINE - MADISON")</f>
        <v>ILLINOIS STATE LINE - MADISON</v>
      </c>
      <c r="H434" s="3" t="str">
        <f>CLEAN("BELOIT SALT SHED")</f>
        <v>BELOIT SALT SHED</v>
      </c>
      <c r="I434" s="3" t="str">
        <f>CLEAN("LFA/MISC/SALT STORAGE FACILITY")</f>
        <v>LFA/MISC/SALT STORAGE FACILITY</v>
      </c>
      <c r="J434" s="3">
        <v>0.11600000000000001</v>
      </c>
    </row>
    <row r="435" spans="1:10" x14ac:dyDescent="0.25">
      <c r="A435" s="3" t="str">
        <f>CLEAN("ROCK")</f>
        <v>ROCK</v>
      </c>
      <c r="B435" s="6" t="str">
        <f>CLEAN("1003-10-01")</f>
        <v>1003-10-01</v>
      </c>
      <c r="C435" s="6" t="str">
        <f>CLEAN("1003-12-92")</f>
        <v>1003-12-92</v>
      </c>
      <c r="D435" s="6">
        <v>2020</v>
      </c>
      <c r="E435" s="6" t="str">
        <f>CLEAN("IH -039")</f>
        <v>IH -039</v>
      </c>
      <c r="F435" s="4">
        <v>43915</v>
      </c>
      <c r="G435" s="3" t="str">
        <f>CLEAN("ILLINOIS STATE LINE - MADISON")</f>
        <v>ILLINOIS STATE LINE - MADISON</v>
      </c>
      <c r="H435" s="3" t="str">
        <f>CLEAN("ILLINOIS STATE LINE - E. RACINE ST")</f>
        <v>ILLINOIS STATE LINE - E. RACINE ST</v>
      </c>
      <c r="I435" s="3" t="str">
        <f>CLEAN("FST SOUTH SEGMENT/FY 2020")</f>
        <v>FST SOUTH SEGMENT/FY 2020</v>
      </c>
      <c r="J435" s="3">
        <v>0</v>
      </c>
    </row>
    <row r="436" spans="1:10" x14ac:dyDescent="0.25">
      <c r="A436" s="3" t="str">
        <f>CLEAN("ROCK")</f>
        <v>ROCK</v>
      </c>
      <c r="B436" s="6" t="str">
        <f>CLEAN("1005-10-01")</f>
        <v>1005-10-01</v>
      </c>
      <c r="C436" s="6" t="str">
        <f>CLEAN("1005-11-97")</f>
        <v>1005-11-97</v>
      </c>
      <c r="D436" s="6">
        <v>2020</v>
      </c>
      <c r="E436" s="6" t="str">
        <f>CLEAN("IH -039")</f>
        <v>IH -039</v>
      </c>
      <c r="F436" s="4">
        <v>43915</v>
      </c>
      <c r="G436" s="3" t="str">
        <f>CLEAN("ILLINOIS STATE LINE - MADISON")</f>
        <v>ILLINOIS STATE LINE - MADISON</v>
      </c>
      <c r="H436" s="3" t="str">
        <f>CLEAN("E. RACINE ST - S. DANE COUNTY LINE")</f>
        <v>E. RACINE ST - S. DANE COUNTY LINE</v>
      </c>
      <c r="I436" s="3" t="str">
        <f>CLEAN("FST CENTRAL SEGMENT/FY 2020")</f>
        <v>FST CENTRAL SEGMENT/FY 2020</v>
      </c>
      <c r="J436" s="3">
        <v>0</v>
      </c>
    </row>
    <row r="437" spans="1:10" x14ac:dyDescent="0.25">
      <c r="A437" s="3" t="str">
        <f>CLEAN("ROCK")</f>
        <v>ROCK</v>
      </c>
      <c r="B437" s="6" t="str">
        <f>CLEAN("5155-02-30")</f>
        <v>5155-02-30</v>
      </c>
      <c r="C437" s="6" t="str">
        <f>CLEAN("5155-02-62")</f>
        <v>5155-02-62</v>
      </c>
      <c r="D437" s="6">
        <v>2020</v>
      </c>
      <c r="E437" s="6" t="str">
        <f>CLEAN("USH-014")</f>
        <v>USH-014</v>
      </c>
      <c r="F437" s="4">
        <v>43963</v>
      </c>
      <c r="G437" s="3" t="str">
        <f>CLEAN("EVANSVILLE - JANESVILLE")</f>
        <v>EVANSVILLE - JANESVILLE</v>
      </c>
      <c r="H437" s="3" t="str">
        <f>CLEAN("CTH M TO USH 51  B-53-0906")</f>
        <v>CTH M TO USH 51  B-53-0906</v>
      </c>
      <c r="I437" s="3" t="str">
        <f>CLEAN("CONST OPS//MILL &amp; OVERLAY")</f>
        <v>CONST OPS//MILL &amp; OVERLAY</v>
      </c>
      <c r="J437" s="3">
        <v>12.64</v>
      </c>
    </row>
    <row r="438" spans="1:10" x14ac:dyDescent="0.25">
      <c r="A438" s="3" t="str">
        <f>CLEAN("ROCK")</f>
        <v>ROCK</v>
      </c>
      <c r="B438" s="6" t="str">
        <f>CLEAN("1003-10-01")</f>
        <v>1003-10-01</v>
      </c>
      <c r="C438" s="6" t="str">
        <f>CLEAN("1008-10-70")</f>
        <v>1008-10-70</v>
      </c>
      <c r="D438" s="6">
        <v>2020</v>
      </c>
      <c r="E438" s="6" t="str">
        <f>CLEAN("IH -039")</f>
        <v>IH -039</v>
      </c>
      <c r="F438" s="4">
        <v>43991</v>
      </c>
      <c r="G438" s="3" t="str">
        <f>CLEAN("ILLINOIS STATE LINE - MADISON")</f>
        <v>ILLINOIS STATE LINE - MADISON</v>
      </c>
      <c r="H438" s="3" t="str">
        <f>CLEAN("SAFETY REST AREA 22")</f>
        <v>SAFETY REST AREA 22</v>
      </c>
      <c r="I438" s="3" t="str">
        <f>CLEAN("CONST OPS/MISC/TRUCK PARKING")</f>
        <v>CONST OPS/MISC/TRUCK PARKING</v>
      </c>
      <c r="J438" s="3">
        <v>0</v>
      </c>
    </row>
    <row r="439" spans="1:10" x14ac:dyDescent="0.25">
      <c r="A439" s="3" t="str">
        <f>CLEAN("ROCK")</f>
        <v>ROCK</v>
      </c>
      <c r="B439" s="6" t="str">
        <f>CLEAN("1001-10-12")</f>
        <v>1001-10-12</v>
      </c>
      <c r="C439" s="6" t="str">
        <f>CLEAN("1001-10-77")</f>
        <v>1001-10-77</v>
      </c>
      <c r="D439" s="6">
        <v>2020</v>
      </c>
      <c r="E439" s="6" t="str">
        <f>CLEAN("IH -039")</f>
        <v>IH -039</v>
      </c>
      <c r="F439" s="4">
        <v>44007</v>
      </c>
      <c r="G439" s="3" t="str">
        <f>CLEAN("ILLINOIS STATE LINE - MADISON")</f>
        <v>ILLINOIS STATE LINE - MADISON</v>
      </c>
      <c r="H439" s="3" t="str">
        <f>CLEAN("ILLINOIS STATE LINE - MADISON")</f>
        <v>ILLINOIS STATE LINE - MADISON</v>
      </c>
      <c r="I439" s="3" t="str">
        <f>CLEAN("ITS INCIDENTAL PO ITEMS FY 2020")</f>
        <v>ITS INCIDENTAL PO ITEMS FY 2020</v>
      </c>
      <c r="J439" s="3">
        <v>44.15</v>
      </c>
    </row>
    <row r="440" spans="1:10" x14ac:dyDescent="0.25">
      <c r="A440" s="3" t="str">
        <f>CLEAN("ROCK")</f>
        <v>ROCK</v>
      </c>
      <c r="B440" s="6" t="str">
        <f>CLEAN("1003-10-01")</f>
        <v>1003-10-01</v>
      </c>
      <c r="C440" s="6" t="str">
        <f>CLEAN("1003-11-78")</f>
        <v>1003-11-78</v>
      </c>
      <c r="D440" s="6">
        <v>2020</v>
      </c>
      <c r="E440" s="6" t="str">
        <f>CLEAN("IH -039")</f>
        <v>IH -039</v>
      </c>
      <c r="F440" s="4">
        <v>44007</v>
      </c>
      <c r="G440" s="3" t="str">
        <f>CLEAN("ILLINOIS STATE LINE - MADISON")</f>
        <v>ILLINOIS STATE LINE - MADISON</v>
      </c>
      <c r="H440" s="3" t="str">
        <f>CLEAN("IH 43 INTERCHANGE SOUTH &amp; EAST LEG")</f>
        <v>IH 43 INTERCHANGE SOUTH &amp; EAST LEG</v>
      </c>
      <c r="I440" s="3" t="str">
        <f>CLEAN("ITS PO ITEMS FOR 1003-11-71 FY20")</f>
        <v>ITS PO ITEMS FOR 1003-11-71 FY20</v>
      </c>
      <c r="J440" s="3">
        <v>2.0960000000000001</v>
      </c>
    </row>
    <row r="441" spans="1:10" x14ac:dyDescent="0.25">
      <c r="A441" s="3" t="str">
        <f>CLEAN("ROCK")</f>
        <v>ROCK</v>
      </c>
      <c r="B441" s="6" t="str">
        <f>CLEAN("1005-10-01")</f>
        <v>1005-10-01</v>
      </c>
      <c r="C441" s="6" t="str">
        <f>CLEAN("1005-11-75")</f>
        <v>1005-11-75</v>
      </c>
      <c r="D441" s="6">
        <v>2020</v>
      </c>
      <c r="E441" s="6" t="str">
        <f>CLEAN("IH -039")</f>
        <v>IH -039</v>
      </c>
      <c r="F441" s="4">
        <v>44007</v>
      </c>
      <c r="G441" s="3" t="str">
        <f>CLEAN("ILLINOIS STATE LINE - MADISON")</f>
        <v>ILLINOIS STATE LINE - MADISON</v>
      </c>
      <c r="H441" s="3" t="str">
        <f>CLEAN("USH 14 INT NORTH TO KENNEDY ROAD")</f>
        <v>USH 14 INT NORTH TO KENNEDY ROAD</v>
      </c>
      <c r="I441" s="3" t="str">
        <f>CLEAN("TRF PO ITEMS FOR 1005-10-77 FY 20")</f>
        <v>TRF PO ITEMS FOR 1005-10-77 FY 20</v>
      </c>
      <c r="J441" s="3">
        <v>0</v>
      </c>
    </row>
    <row r="442" spans="1:10" x14ac:dyDescent="0.25">
      <c r="A442" s="3" t="str">
        <f>CLEAN("ROCK")</f>
        <v>ROCK</v>
      </c>
      <c r="B442" s="6" t="str">
        <f>CLEAN("1005-10-01")</f>
        <v>1005-10-01</v>
      </c>
      <c r="C442" s="6" t="str">
        <f>CLEAN("1005-11-77")</f>
        <v>1005-11-77</v>
      </c>
      <c r="D442" s="6">
        <v>2020</v>
      </c>
      <c r="E442" s="6" t="str">
        <f>CLEAN("IH -039")</f>
        <v>IH -039</v>
      </c>
      <c r="F442" s="4">
        <v>44007</v>
      </c>
      <c r="G442" s="3" t="str">
        <f>CLEAN("ILLINOIS STATE LINE - MADISON")</f>
        <v>ILLINOIS STATE LINE - MADISON</v>
      </c>
      <c r="H442" s="3" t="str">
        <f>CLEAN("KENNEDY ROAD TO KNUTSON ROAD")</f>
        <v>KENNEDY ROAD TO KNUTSON ROAD</v>
      </c>
      <c r="I442" s="3" t="str">
        <f>CLEAN("ITS PO ITEMS FOR 1005-10-78 FY 20")</f>
        <v>ITS PO ITEMS FOR 1005-10-78 FY 20</v>
      </c>
      <c r="J442" s="3">
        <v>0</v>
      </c>
    </row>
    <row r="443" spans="1:10" x14ac:dyDescent="0.25">
      <c r="A443" s="3" t="str">
        <f>CLEAN("ROCK")</f>
        <v>ROCK</v>
      </c>
      <c r="B443" s="6" t="str">
        <f>CLEAN("1005-10-01")</f>
        <v>1005-10-01</v>
      </c>
      <c r="C443" s="6" t="str">
        <f>CLEAN("1005-11-82")</f>
        <v>1005-11-82</v>
      </c>
      <c r="D443" s="6">
        <v>2020</v>
      </c>
      <c r="E443" s="6" t="str">
        <f>CLEAN("IH -039")</f>
        <v>IH -039</v>
      </c>
      <c r="F443" s="4">
        <v>44007</v>
      </c>
      <c r="G443" s="3" t="str">
        <f>CLEAN("ILLINOIS STATE LINE - MADISON")</f>
        <v>ILLINOIS STATE LINE - MADISON</v>
      </c>
      <c r="H443" s="3" t="str">
        <f>CLEAN("USH 14 INT NORTH TO KENNEDY ROAD")</f>
        <v>USH 14 INT NORTH TO KENNEDY ROAD</v>
      </c>
      <c r="I443" s="3" t="str">
        <f>CLEAN("ITS PO ITEMS FOR 1005-10-77 FY 20")</f>
        <v>ITS PO ITEMS FOR 1005-10-77 FY 20</v>
      </c>
      <c r="J443" s="3">
        <v>5.9080000000000004</v>
      </c>
    </row>
    <row r="444" spans="1:10" x14ac:dyDescent="0.25">
      <c r="A444" s="3" t="str">
        <f>CLEAN("ROCK")</f>
        <v>ROCK</v>
      </c>
      <c r="B444" s="6" t="str">
        <f>CLEAN("5569-00-02")</f>
        <v>5569-00-02</v>
      </c>
      <c r="C444" s="6" t="str">
        <f>CLEAN("5569-00-79")</f>
        <v>5569-00-79</v>
      </c>
      <c r="D444" s="6">
        <v>2020</v>
      </c>
      <c r="E444" s="6" t="str">
        <f>CLEAN("USH-014")</f>
        <v>USH-014</v>
      </c>
      <c r="F444" s="4">
        <v>44007</v>
      </c>
      <c r="G444" s="3" t="str">
        <f>CLEAN("EVANSVILLE - JANESVILLE")</f>
        <v>EVANSVILLE - JANESVILLE</v>
      </c>
      <c r="H444" s="3" t="str">
        <f>CLEAN("USH 51 TO WRIGHT ROAD")</f>
        <v>USH 51 TO WRIGHT ROAD</v>
      </c>
      <c r="I444" s="3" t="str">
        <f>CLEAN("ADAPTIVE SIGNAL WORK 5569-00-72")</f>
        <v>ADAPTIVE SIGNAL WORK 5569-00-72</v>
      </c>
      <c r="J444" s="3">
        <v>0</v>
      </c>
    </row>
    <row r="445" spans="1:10" x14ac:dyDescent="0.25">
      <c r="A445" s="3" t="str">
        <f>CLEAN("ROCK")</f>
        <v>ROCK</v>
      </c>
      <c r="B445" s="6" t="str">
        <f>CLEAN("1001-10-02")</f>
        <v>1001-10-02</v>
      </c>
      <c r="C445" s="6" t="str">
        <f>CLEAN("1001-10-81")</f>
        <v>1001-10-81</v>
      </c>
      <c r="D445" s="6">
        <v>2020</v>
      </c>
      <c r="E445" s="6" t="str">
        <f>CLEAN("IH -039")</f>
        <v>IH -039</v>
      </c>
      <c r="F445" s="4">
        <v>44026</v>
      </c>
      <c r="G445" s="3" t="str">
        <f>CLEAN("ILLINOIS STATE LINE - MADISON")</f>
        <v>ILLINOIS STATE LINE - MADISON</v>
      </c>
      <c r="H445" s="3" t="str">
        <f>CLEAN("ILLINOIS STATE LINE - MADISON")</f>
        <v>ILLINOIS STATE LINE - MADISON</v>
      </c>
      <c r="I445" s="3" t="str">
        <f>CLEAN("BRIDGE DECK POLYMER OVERLAYS")</f>
        <v>BRIDGE DECK POLYMER OVERLAYS</v>
      </c>
      <c r="J445" s="3">
        <v>0</v>
      </c>
    </row>
    <row r="446" spans="1:10" x14ac:dyDescent="0.25">
      <c r="A446" s="3" t="str">
        <f>CLEAN("ROCK")</f>
        <v>ROCK</v>
      </c>
      <c r="B446" s="6" t="str">
        <f>CLEAN("5571-00-01")</f>
        <v>5571-00-01</v>
      </c>
      <c r="C446" s="6" t="str">
        <f>CLEAN("5571-00-81")</f>
        <v>5571-00-81</v>
      </c>
      <c r="D446" s="6">
        <v>2021</v>
      </c>
      <c r="E446" s="6" t="str">
        <f>CLEAN("STH-213")</f>
        <v>STH-213</v>
      </c>
      <c r="F446" s="4">
        <v>44264</v>
      </c>
      <c r="G446" s="3" t="str">
        <f>CLEAN("BELOIT - EVANSVILLE")</f>
        <v>BELOIT - EVANSVILLE</v>
      </c>
      <c r="H446" s="3" t="str">
        <f>CLEAN("BR ALLEN CREEK B-53-0293")</f>
        <v>BR ALLEN CREEK B-53-0293</v>
      </c>
      <c r="I446" s="3" t="str">
        <f>CLEAN("CONST/REPLACE STRUCTURE")</f>
        <v>CONST/REPLACE STRUCTURE</v>
      </c>
      <c r="J446" s="3">
        <v>0.01</v>
      </c>
    </row>
    <row r="447" spans="1:10" x14ac:dyDescent="0.25">
      <c r="A447" s="3" t="str">
        <f>CLEAN("ROCK")</f>
        <v>ROCK</v>
      </c>
      <c r="B447" s="6" t="str">
        <f>CLEAN("5670-03-00")</f>
        <v>5670-03-00</v>
      </c>
      <c r="C447" s="6" t="str">
        <f>CLEAN("5670-03-70")</f>
        <v>5670-03-70</v>
      </c>
      <c r="D447" s="6">
        <v>2021</v>
      </c>
      <c r="E447" s="6" t="str">
        <f>CLEAN("STH-059")</f>
        <v>STH-059</v>
      </c>
      <c r="F447" s="4">
        <v>44264</v>
      </c>
      <c r="G447" s="3" t="str">
        <f>CLEAN("MONROE - EVANSVILLE")</f>
        <v>MONROE - EVANSVILLE</v>
      </c>
      <c r="H447" s="3" t="str">
        <f>CLEAN("STH 213 TO GARRISON DRIVE")</f>
        <v>STH 213 TO GARRISON DRIVE</v>
      </c>
      <c r="I447" s="3" t="str">
        <f>CLEAN("CONST/ MILL AND OVERLAY")</f>
        <v>CONST/ MILL AND OVERLAY</v>
      </c>
      <c r="J447" s="3">
        <v>2.286</v>
      </c>
    </row>
    <row r="448" spans="1:10" x14ac:dyDescent="0.25">
      <c r="A448" s="3" t="str">
        <f>CLEAN("ROCK")</f>
        <v>ROCK</v>
      </c>
      <c r="B448" s="6" t="str">
        <f>CLEAN("1003-10-01")</f>
        <v>1003-10-01</v>
      </c>
      <c r="C448" s="6" t="str">
        <f>CLEAN("1003-12-93")</f>
        <v>1003-12-93</v>
      </c>
      <c r="D448" s="6">
        <v>2021</v>
      </c>
      <c r="E448" s="6" t="str">
        <f>CLEAN("IH -039")</f>
        <v>IH -039</v>
      </c>
      <c r="F448" s="4">
        <v>44280</v>
      </c>
      <c r="G448" s="3" t="str">
        <f>CLEAN("ILLINOIS STATE LINE - MADISON")</f>
        <v>ILLINOIS STATE LINE - MADISON</v>
      </c>
      <c r="H448" s="3" t="str">
        <f>CLEAN("ILLINOIS STATE LINE - E. RACINE ST")</f>
        <v>ILLINOIS STATE LINE - E. RACINE ST</v>
      </c>
      <c r="I448" s="3" t="str">
        <f>CLEAN("FST SOUTH SEGMENT/FY 2021")</f>
        <v>FST SOUTH SEGMENT/FY 2021</v>
      </c>
      <c r="J448" s="3">
        <v>0</v>
      </c>
    </row>
    <row r="449" spans="1:10" x14ac:dyDescent="0.25">
      <c r="A449" s="3" t="str">
        <f>CLEAN("ROCK")</f>
        <v>ROCK</v>
      </c>
      <c r="B449" s="6" t="str">
        <f>CLEAN("1005-10-01")</f>
        <v>1005-10-01</v>
      </c>
      <c r="C449" s="6" t="str">
        <f>CLEAN("1005-11-98")</f>
        <v>1005-11-98</v>
      </c>
      <c r="D449" s="6">
        <v>2021</v>
      </c>
      <c r="E449" s="6" t="str">
        <f>CLEAN("IH -039")</f>
        <v>IH -039</v>
      </c>
      <c r="F449" s="4">
        <v>44280</v>
      </c>
      <c r="G449" s="3" t="str">
        <f>CLEAN("ILLINOIS STATE LINE - MADISON")</f>
        <v>ILLINOIS STATE LINE - MADISON</v>
      </c>
      <c r="H449" s="3" t="str">
        <f>CLEAN("E. RACINE ST - S. DANE COUNTY LINE")</f>
        <v>E. RACINE ST - S. DANE COUNTY LINE</v>
      </c>
      <c r="I449" s="3" t="str">
        <f>CLEAN("FST CENTRAL SEGMENT/FY 2021")</f>
        <v>FST CENTRAL SEGMENT/FY 2021</v>
      </c>
      <c r="J449" s="3">
        <v>0</v>
      </c>
    </row>
    <row r="450" spans="1:10" x14ac:dyDescent="0.25">
      <c r="A450" s="3" t="str">
        <f>CLEAN("ROCK")</f>
        <v>ROCK</v>
      </c>
      <c r="B450" s="6" t="str">
        <f>CLEAN("1001-10-12")</f>
        <v>1001-10-12</v>
      </c>
      <c r="C450" s="6" t="str">
        <f>CLEAN("1001-10-78")</f>
        <v>1001-10-78</v>
      </c>
      <c r="D450" s="6">
        <v>2021</v>
      </c>
      <c r="E450" s="6" t="str">
        <f>CLEAN("IH -039")</f>
        <v>IH -039</v>
      </c>
      <c r="F450" s="4">
        <v>44372</v>
      </c>
      <c r="G450" s="3" t="str">
        <f>CLEAN("ILLINOIS STATE LINE - MADISON")</f>
        <v>ILLINOIS STATE LINE - MADISON</v>
      </c>
      <c r="H450" s="3" t="str">
        <f>CLEAN("ILLINOIS STATE LINE - MADISON")</f>
        <v>ILLINOIS STATE LINE - MADISON</v>
      </c>
      <c r="I450" s="3" t="str">
        <f>CLEAN("ITS INCIDENTAL PO ITEMS FY 2021")</f>
        <v>ITS INCIDENTAL PO ITEMS FY 2021</v>
      </c>
      <c r="J450" s="3">
        <v>44.15</v>
      </c>
    </row>
    <row r="451" spans="1:10" x14ac:dyDescent="0.25">
      <c r="A451" s="3" t="str">
        <f>CLEAN("ROCK")</f>
        <v>ROCK</v>
      </c>
      <c r="B451" s="6" t="str">
        <f>CLEAN("1003-10-01")</f>
        <v>1003-10-01</v>
      </c>
      <c r="C451" s="6" t="str">
        <f>CLEAN("1003-11-82")</f>
        <v>1003-11-82</v>
      </c>
      <c r="D451" s="6">
        <v>2021</v>
      </c>
      <c r="E451" s="6" t="str">
        <f>CLEAN("IH -039")</f>
        <v>IH -039</v>
      </c>
      <c r="F451" s="4">
        <v>44372</v>
      </c>
      <c r="G451" s="3" t="str">
        <f>CLEAN("ILLINOIS STATE LINE - MADISON")</f>
        <v>ILLINOIS STATE LINE - MADISON</v>
      </c>
      <c r="H451" s="3" t="str">
        <f>CLEAN("IH 43 INTERCHANGE CORE")</f>
        <v>IH 43 INTERCHANGE CORE</v>
      </c>
      <c r="I451" s="3" t="str">
        <f>CLEAN("ITS PO ITEMS FOR 1003-10-80")</f>
        <v>ITS PO ITEMS FOR 1003-10-80</v>
      </c>
      <c r="J451" s="3">
        <v>3.4039999999999999</v>
      </c>
    </row>
    <row r="452" spans="1:10" x14ac:dyDescent="0.25">
      <c r="A452" s="3" t="str">
        <f>CLEAN("ROCK")</f>
        <v>ROCK</v>
      </c>
      <c r="B452" s="6" t="str">
        <f>CLEAN("1005-10-01")</f>
        <v>1005-10-01</v>
      </c>
      <c r="C452" s="6" t="str">
        <f>CLEAN("1005-11-76")</f>
        <v>1005-11-76</v>
      </c>
      <c r="D452" s="6">
        <v>2021</v>
      </c>
      <c r="E452" s="6" t="str">
        <f>CLEAN("IH -039")</f>
        <v>IH -039</v>
      </c>
      <c r="F452" s="4">
        <v>44372</v>
      </c>
      <c r="G452" s="3" t="str">
        <f>CLEAN("ILLINOIS STATE LINE - MADISON")</f>
        <v>ILLINOIS STATE LINE - MADISON</v>
      </c>
      <c r="H452" s="3" t="str">
        <f>CLEAN("USH 14 INT NORTH TO KENNEDY ROAD")</f>
        <v>USH 14 INT NORTH TO KENNEDY ROAD</v>
      </c>
      <c r="I452" s="3" t="str">
        <f>CLEAN("ITS PO ITEMS FOR 1005-10-77 FY 21")</f>
        <v>ITS PO ITEMS FOR 1005-10-77 FY 21</v>
      </c>
      <c r="J452" s="3">
        <v>0</v>
      </c>
    </row>
    <row r="453" spans="1:10" x14ac:dyDescent="0.25">
      <c r="A453" s="3" t="str">
        <f>CLEAN("ROCK")</f>
        <v>ROCK</v>
      </c>
      <c r="B453" s="6" t="str">
        <f>CLEAN("1005-10-01")</f>
        <v>1005-10-01</v>
      </c>
      <c r="C453" s="6" t="str">
        <f>CLEAN("1005-11-78")</f>
        <v>1005-11-78</v>
      </c>
      <c r="D453" s="6">
        <v>2021</v>
      </c>
      <c r="E453" s="6" t="str">
        <f>CLEAN("IH -039")</f>
        <v>IH -039</v>
      </c>
      <c r="F453" s="4">
        <v>44372</v>
      </c>
      <c r="G453" s="3" t="str">
        <f>CLEAN("ILLINOIS STATE LINE - MADISON")</f>
        <v>ILLINOIS STATE LINE - MADISON</v>
      </c>
      <c r="H453" s="3" t="str">
        <f>CLEAN("USH 14 INTERCHANGE")</f>
        <v>USH 14 INTERCHANGE</v>
      </c>
      <c r="I453" s="3" t="str">
        <f>CLEAN("TRF PO ITEMS FOR 1005-10-87 FY 21")</f>
        <v>TRF PO ITEMS FOR 1005-10-87 FY 21</v>
      </c>
      <c r="J453" s="3">
        <v>0</v>
      </c>
    </row>
    <row r="454" spans="1:10" x14ac:dyDescent="0.25">
      <c r="A454" s="3" t="str">
        <f>CLEAN("ROCK")</f>
        <v>ROCK</v>
      </c>
      <c r="B454" s="6" t="str">
        <f>CLEAN("1005-10-01")</f>
        <v>1005-10-01</v>
      </c>
      <c r="C454" s="6" t="str">
        <f>CLEAN("1005-11-79")</f>
        <v>1005-11-79</v>
      </c>
      <c r="D454" s="6">
        <v>2021</v>
      </c>
      <c r="E454" s="6" t="str">
        <f>CLEAN("IH -039")</f>
        <v>IH -039</v>
      </c>
      <c r="F454" s="4">
        <v>44372</v>
      </c>
      <c r="G454" s="3" t="str">
        <f>CLEAN("ILLINOIS STATE LINE - MADISON")</f>
        <v>ILLINOIS STATE LINE - MADISON</v>
      </c>
      <c r="H454" s="3" t="str">
        <f>CLEAN("USH 14 INTERCHANGE")</f>
        <v>USH 14 INTERCHANGE</v>
      </c>
      <c r="I454" s="3" t="str">
        <f>CLEAN("ITS PO ITEMS FOR 1005-10-87 FY 21")</f>
        <v>ITS PO ITEMS FOR 1005-10-87 FY 21</v>
      </c>
      <c r="J454" s="3">
        <v>0</v>
      </c>
    </row>
    <row r="455" spans="1:10" x14ac:dyDescent="0.25">
      <c r="A455" s="3" t="str">
        <f>CLEAN("ROCK")</f>
        <v>ROCK</v>
      </c>
      <c r="B455" s="6" t="str">
        <f>CLEAN("5569-00-01")</f>
        <v>5569-00-01</v>
      </c>
      <c r="C455" s="6" t="str">
        <f>CLEAN("5569-00-81")</f>
        <v>5569-00-81</v>
      </c>
      <c r="D455" s="6">
        <v>2021</v>
      </c>
      <c r="E455" s="6" t="str">
        <f>CLEAN("USH-014")</f>
        <v>USH-014</v>
      </c>
      <c r="F455" s="4">
        <v>44372</v>
      </c>
      <c r="G455" s="3" t="str">
        <f>CLEAN("HUMES ROAD  C JANESVILLE")</f>
        <v>HUMES ROAD  C JANESVILLE</v>
      </c>
      <c r="H455" s="3" t="str">
        <f>CLEAN("LEXINGTON STREET TO PONTIAC DRIVE")</f>
        <v>LEXINGTON STREET TO PONTIAC DRIVE</v>
      </c>
      <c r="I455" s="3" t="str">
        <f>CLEAN("TRF PO ITEMS FOR 5569-00-71 FY 21")</f>
        <v>TRF PO ITEMS FOR 5569-00-71 FY 21</v>
      </c>
      <c r="J455" s="3">
        <v>0</v>
      </c>
    </row>
    <row r="456" spans="1:10" x14ac:dyDescent="0.25">
      <c r="A456" s="3" t="str">
        <f>CLEAN("ROCK")</f>
        <v>ROCK</v>
      </c>
      <c r="B456" s="6" t="str">
        <f>CLEAN("5569-00-01")</f>
        <v>5569-00-01</v>
      </c>
      <c r="C456" s="6" t="str">
        <f>CLEAN("5569-00-82")</f>
        <v>5569-00-82</v>
      </c>
      <c r="D456" s="6">
        <v>2021</v>
      </c>
      <c r="E456" s="6" t="str">
        <f>CLEAN("USH-014")</f>
        <v>USH-014</v>
      </c>
      <c r="F456" s="4">
        <v>44372</v>
      </c>
      <c r="G456" s="3" t="str">
        <f>CLEAN("HUMES ROAD  C JANESVILLE")</f>
        <v>HUMES ROAD  C JANESVILLE</v>
      </c>
      <c r="H456" s="3" t="str">
        <f>CLEAN("LEXINGTON STREET TO PONTIAC DRIVE")</f>
        <v>LEXINGTON STREET TO PONTIAC DRIVE</v>
      </c>
      <c r="I456" s="3" t="str">
        <f>CLEAN("ITS PO ITEMS FOR 5569-00-71 FY 21")</f>
        <v>ITS PO ITEMS FOR 5569-00-71 FY 21</v>
      </c>
      <c r="J456" s="3">
        <v>0</v>
      </c>
    </row>
    <row r="457" spans="1:10" x14ac:dyDescent="0.25">
      <c r="A457" s="3" t="str">
        <f>CLEAN("ROCK")</f>
        <v>ROCK</v>
      </c>
      <c r="B457" s="6" t="str">
        <f>CLEAN("1093-01-01")</f>
        <v>1093-01-01</v>
      </c>
      <c r="C457" s="6" t="str">
        <f>CLEAN("1093-01-82")</f>
        <v>1093-01-82</v>
      </c>
      <c r="D457" s="6">
        <v>2022</v>
      </c>
      <c r="E457" s="6" t="str">
        <f>CLEAN("IH -043")</f>
        <v>IH -043</v>
      </c>
      <c r="F457" s="4">
        <v>44509</v>
      </c>
      <c r="G457" s="3" t="str">
        <f>CLEAN("BELOIT - ELKHORN")</f>
        <v>BELOIT - ELKHORN</v>
      </c>
      <c r="H457" s="3" t="str">
        <f>CLEAN("STH 140 TO EAST CO LN; B-53-114-119")</f>
        <v>STH 140 TO EAST CO LN; B-53-114-119</v>
      </c>
      <c r="I457" s="3" t="str">
        <f>CLEAN("CONST/RESURFACE PAV'T/DECK REPAIR")</f>
        <v>CONST/RESURFACE PAV'T/DECK REPAIR</v>
      </c>
      <c r="J457" s="3">
        <v>5.2160000000000002</v>
      </c>
    </row>
    <row r="458" spans="1:10" x14ac:dyDescent="0.25">
      <c r="A458" s="3" t="str">
        <f>CLEAN("ROCK")</f>
        <v>ROCK</v>
      </c>
      <c r="B458" s="6" t="str">
        <f>CLEAN("1706-01-00")</f>
        <v>1706-01-00</v>
      </c>
      <c r="C458" s="6" t="str">
        <f>CLEAN("1706-01-80")</f>
        <v>1706-01-80</v>
      </c>
      <c r="D458" s="6">
        <v>2022</v>
      </c>
      <c r="E458" s="6" t="str">
        <f>CLEAN("STH-011")</f>
        <v>STH-011</v>
      </c>
      <c r="F458" s="4">
        <v>44509</v>
      </c>
      <c r="G458" s="3" t="str">
        <f>CLEAN("BRODHEAD - JANESVILLE")</f>
        <v>BRODHEAD - JANESVILLE</v>
      </c>
      <c r="H458" s="3" t="str">
        <f>CLEAN("TRIBUTARY STRUCTURE")</f>
        <v>TRIBUTARY STRUCTURE</v>
      </c>
      <c r="I458" s="3" t="str">
        <f>CLEAN("CONST/STRUCT REPLACEMENT B-53-XXX")</f>
        <v>CONST/STRUCT REPLACEMENT B-53-XXX</v>
      </c>
      <c r="J458" s="3">
        <v>0.17399999999999999</v>
      </c>
    </row>
    <row r="459" spans="1:10" x14ac:dyDescent="0.25">
      <c r="A459" s="3" t="str">
        <f>CLEAN("ROCK")</f>
        <v>ROCK</v>
      </c>
      <c r="B459" s="6" t="str">
        <f>CLEAN("1706-01-03")</f>
        <v>1706-01-03</v>
      </c>
      <c r="C459" s="6" t="str">
        <f>CLEAN("1706-01-73")</f>
        <v>1706-01-73</v>
      </c>
      <c r="D459" s="6">
        <v>2022</v>
      </c>
      <c r="E459" s="6" t="str">
        <f>CLEAN("STH-011")</f>
        <v>STH-011</v>
      </c>
      <c r="F459" s="4">
        <v>44509</v>
      </c>
      <c r="G459" s="3" t="str">
        <f>CLEAN("BRODHEAD - JANESVILLE")</f>
        <v>BRODHEAD - JANESVILLE</v>
      </c>
      <c r="H459" s="3" t="str">
        <f>CLEAN("STH 104 TO CTH B")</f>
        <v>STH 104 TO CTH B</v>
      </c>
      <c r="I459" s="3" t="str">
        <f>CLEAN("CONST/ MILL AND OVERLAY")</f>
        <v>CONST/ MILL AND OVERLAY</v>
      </c>
      <c r="J459" s="3">
        <v>9.69</v>
      </c>
    </row>
    <row r="460" spans="1:10" x14ac:dyDescent="0.25">
      <c r="A460" s="3" t="str">
        <f>CLEAN("ROCK")</f>
        <v>ROCK</v>
      </c>
      <c r="B460" s="6" t="str">
        <f>CLEAN("5636-03-01")</f>
        <v>5636-03-01</v>
      </c>
      <c r="C460" s="6" t="str">
        <f>CLEAN("5636-03-71")</f>
        <v>5636-03-71</v>
      </c>
      <c r="D460" s="6">
        <v>2022</v>
      </c>
      <c r="E460" s="6" t="str">
        <f>CLEAN("STH-213")</f>
        <v>STH-213</v>
      </c>
      <c r="F460" s="4">
        <v>44509</v>
      </c>
      <c r="G460" s="3" t="str">
        <f>CLEAN("SALT STORAGE  ROCK COUNTY")</f>
        <v>SALT STORAGE  ROCK COUNTY</v>
      </c>
      <c r="H460" s="3" t="str">
        <f>CLEAN("V OF ORFORDVILLE")</f>
        <v>V OF ORFORDVILLE</v>
      </c>
      <c r="I460" s="3" t="str">
        <f>CLEAN("CONST/CONSTRUCT NEW SALT SHED")</f>
        <v>CONST/CONSTRUCT NEW SALT SHED</v>
      </c>
      <c r="J460" s="3">
        <v>0.01</v>
      </c>
    </row>
    <row r="461" spans="1:10" x14ac:dyDescent="0.25">
      <c r="A461" s="3" t="str">
        <f>CLEAN("ROCK")</f>
        <v>ROCK</v>
      </c>
      <c r="B461" s="6" t="str">
        <f>CLEAN("3140-00-02")</f>
        <v>3140-00-02</v>
      </c>
      <c r="C461" s="6" t="str">
        <f>CLEAN("3140-00-72")</f>
        <v>3140-00-72</v>
      </c>
      <c r="D461" s="6">
        <v>2022</v>
      </c>
      <c r="E461" s="6" t="str">
        <f>CLEAN("STH-059")</f>
        <v>STH-059</v>
      </c>
      <c r="F461" s="4">
        <v>44544</v>
      </c>
      <c r="G461" s="3" t="str">
        <f>CLEAN("EDGERTON - WHITEWATER")</f>
        <v>EDGERTON - WHITEWATER</v>
      </c>
      <c r="H461" s="3" t="str">
        <f>CLEAN("VICKERMAN ROAD TO E COUNTY LINE")</f>
        <v>VICKERMAN ROAD TO E COUNTY LINE</v>
      </c>
      <c r="I461" s="3" t="str">
        <f>CLEAN("CONST/ MILL &amp; OVERLAY")</f>
        <v>CONST/ MILL &amp; OVERLAY</v>
      </c>
      <c r="J461" s="3">
        <v>7.07</v>
      </c>
    </row>
    <row r="462" spans="1:10" x14ac:dyDescent="0.25">
      <c r="A462" s="3" t="str">
        <f>CLEAN("ROCK")</f>
        <v>ROCK</v>
      </c>
      <c r="B462" s="6" t="str">
        <f>CLEAN("1001-10-01")</f>
        <v>1001-10-01</v>
      </c>
      <c r="C462" s="6" t="str">
        <f>CLEAN("1001-10-91")</f>
        <v>1001-10-91</v>
      </c>
      <c r="D462" s="6">
        <v>2022</v>
      </c>
      <c r="E462" s="6" t="str">
        <f>CLEAN("IH -039")</f>
        <v>IH -039</v>
      </c>
      <c r="F462" s="4">
        <v>44645</v>
      </c>
      <c r="G462" s="3" t="str">
        <f>CLEAN("ILLINOIS STATE LINE - MADISON")</f>
        <v>ILLINOIS STATE LINE - MADISON</v>
      </c>
      <c r="H462" s="3" t="str">
        <f>CLEAN("ILLINOIS STATE LINE - MADISON")</f>
        <v>ILLINOIS STATE LINE - MADISON</v>
      </c>
      <c r="I462" s="3" t="str">
        <f>CLEAN("INCIDENT MANAGEMENT")</f>
        <v>INCIDENT MANAGEMENT</v>
      </c>
      <c r="J462" s="3">
        <v>0</v>
      </c>
    </row>
    <row r="463" spans="1:10" x14ac:dyDescent="0.25">
      <c r="A463" s="3" t="str">
        <f>CLEAN("ROCK")</f>
        <v>ROCK</v>
      </c>
      <c r="B463" s="6" t="str">
        <f>CLEAN("5350-02-00")</f>
        <v>5350-02-00</v>
      </c>
      <c r="C463" s="6" t="str">
        <f>CLEAN("5350-02-70")</f>
        <v>5350-02-70</v>
      </c>
      <c r="D463" s="6">
        <v>2024</v>
      </c>
      <c r="E463" s="6" t="str">
        <f>CLEAN("USH-051")</f>
        <v>USH-051</v>
      </c>
      <c r="F463" s="4">
        <v>45146</v>
      </c>
      <c r="G463" s="3" t="str">
        <f>CLEAN("C JANESVILLE  CENTER AVENUE")</f>
        <v>C JANESVILLE  CENTER AVENUE</v>
      </c>
      <c r="H463" s="3" t="str">
        <f>CLEAN("NICOLET STREET TO COURT STREET")</f>
        <v>NICOLET STREET TO COURT STREET</v>
      </c>
      <c r="I463" s="3" t="str">
        <f>CLEAN("CONST/ PAVEMENT REPLACEMENT")</f>
        <v>CONST/ PAVEMENT REPLACEMENT</v>
      </c>
      <c r="J463" s="3">
        <v>1.46</v>
      </c>
    </row>
    <row r="464" spans="1:10" x14ac:dyDescent="0.25">
      <c r="A464" s="3" t="str">
        <f>CLEAN("ROCK")</f>
        <v>ROCK</v>
      </c>
      <c r="B464" s="6" t="str">
        <f>CLEAN("5350-02-00")</f>
        <v>5350-02-00</v>
      </c>
      <c r="C464" s="6" t="str">
        <f>CLEAN("5350-02-71")</f>
        <v>5350-02-71</v>
      </c>
      <c r="D464" s="6">
        <v>2024</v>
      </c>
      <c r="E464" s="6" t="str">
        <f>CLEAN("USH-051")</f>
        <v>USH-051</v>
      </c>
      <c r="F464" s="4">
        <v>45146</v>
      </c>
      <c r="G464" s="3" t="str">
        <f>CLEAN("C JANESVILLE  CENTER AVE")</f>
        <v>C JANESVILLE  CENTER AVE</v>
      </c>
      <c r="H464" s="3" t="str">
        <f>CLEAN("NICOLET STREET TO COURT STREET")</f>
        <v>NICOLET STREET TO COURT STREET</v>
      </c>
      <c r="I464" s="3" t="str">
        <f>CLEAN("CONST/ WATER MAIN")</f>
        <v>CONST/ WATER MAIN</v>
      </c>
      <c r="J464" s="3">
        <v>1.127</v>
      </c>
    </row>
    <row r="465" spans="1:10" x14ac:dyDescent="0.25">
      <c r="A465" s="3" t="str">
        <f>CLEAN("ROCK")</f>
        <v>ROCK</v>
      </c>
      <c r="B465" s="6" t="str">
        <f>CLEAN("3320-02-00")</f>
        <v>3320-02-00</v>
      </c>
      <c r="C465" s="6" t="str">
        <f>CLEAN("3320-02-70")</f>
        <v>3320-02-70</v>
      </c>
      <c r="D465" s="6">
        <v>2024</v>
      </c>
      <c r="E465" s="6" t="str">
        <f>CLEAN("STH-140")</f>
        <v>STH-140</v>
      </c>
      <c r="F465" s="4">
        <v>45244</v>
      </c>
      <c r="G465" s="3" t="str">
        <f>CLEAN("BERGEN - EMERALD GROVE")</f>
        <v>BERGEN - EMERALD GROVE</v>
      </c>
      <c r="H465" s="3" t="str">
        <f>CLEAN("ILLINOIS STATE LINE TO V CLINTON")</f>
        <v>ILLINOIS STATE LINE TO V CLINTON</v>
      </c>
      <c r="I465" s="3" t="str">
        <f>CLEAN("CONST/ RECONSTRUCT")</f>
        <v>CONST/ RECONSTRUCT</v>
      </c>
      <c r="J465" s="3">
        <v>4.0039999999999996</v>
      </c>
    </row>
    <row r="466" spans="1:10" x14ac:dyDescent="0.25">
      <c r="A466" s="3" t="str">
        <f>CLEAN("ROCK")</f>
        <v>ROCK</v>
      </c>
      <c r="B466" s="6" t="str">
        <f>CLEAN("1093-01-01")</f>
        <v>1093-01-01</v>
      </c>
      <c r="C466" s="6" t="str">
        <f>CLEAN("1093-01-81")</f>
        <v>1093-01-81</v>
      </c>
      <c r="D466" s="6">
        <v>2025</v>
      </c>
      <c r="E466" s="6" t="str">
        <f>CLEAN("IH -043")</f>
        <v>IH -043</v>
      </c>
      <c r="F466" s="4">
        <v>45608</v>
      </c>
      <c r="G466" s="3" t="str">
        <f>CLEAN("BELOIT - ELKHORN")</f>
        <v>BELOIT - ELKHORN</v>
      </c>
      <c r="H466" s="3" t="str">
        <f>CLEAN("CTH X TO STH 140; B-53-111 &amp; 113")</f>
        <v>CTH X TO STH 140; B-53-111 &amp; 113</v>
      </c>
      <c r="I466" s="3" t="str">
        <f>CLEAN("CONST/RESURFACE PAV'T/DECK REPAIR")</f>
        <v>CONST/RESURFACE PAV'T/DECK REPAIR</v>
      </c>
      <c r="J466" s="3">
        <v>5.87</v>
      </c>
    </row>
    <row r="467" spans="1:10" x14ac:dyDescent="0.25">
      <c r="A467" s="3" t="str">
        <f>CLEAN("ROCK")</f>
        <v>ROCK</v>
      </c>
      <c r="B467" s="6" t="str">
        <f>CLEAN("3320-02-01")</f>
        <v>3320-02-01</v>
      </c>
      <c r="C467" s="6" t="str">
        <f>CLEAN("3320-02-71")</f>
        <v>3320-02-71</v>
      </c>
      <c r="D467" s="6">
        <v>2025</v>
      </c>
      <c r="E467" s="6" t="str">
        <f>CLEAN("STH-140")</f>
        <v>STH-140</v>
      </c>
      <c r="F467" s="4">
        <v>45608</v>
      </c>
      <c r="G467" s="3" t="str">
        <f>CLEAN("BERGEN - EMERALD GROVE")</f>
        <v>BERGEN - EMERALD GROVE</v>
      </c>
      <c r="H467" s="3" t="str">
        <f>CLEAN("0.17 MI N OGDEN AVENUE TO USH 14")</f>
        <v>0.17 MI N OGDEN AVENUE TO USH 14</v>
      </c>
      <c r="I467" s="3" t="str">
        <f>CLEAN("CONST/ PAVE REPLACE")</f>
        <v>CONST/ PAVE REPLACE</v>
      </c>
      <c r="J467" s="3">
        <v>6.2119999999999997</v>
      </c>
    </row>
    <row r="468" spans="1:10" x14ac:dyDescent="0.25">
      <c r="A468" s="3"/>
      <c r="B468" s="6"/>
      <c r="C468" s="6"/>
      <c r="D468" s="6"/>
      <c r="E468" s="6"/>
      <c r="F468" s="4"/>
      <c r="G468" s="3"/>
      <c r="H468" s="3"/>
      <c r="I468" s="3"/>
      <c r="J468" s="3"/>
    </row>
    <row r="469" spans="1:10" x14ac:dyDescent="0.25">
      <c r="A469" s="3" t="str">
        <f>CLEAN("SAUK")</f>
        <v>SAUK</v>
      </c>
      <c r="B469" s="6" t="str">
        <f>CLEAN("1670-02-07")</f>
        <v>1670-02-07</v>
      </c>
      <c r="C469" s="6" t="str">
        <f>CLEAN("1670-02-77")</f>
        <v>1670-02-77</v>
      </c>
      <c r="D469" s="6">
        <v>2020</v>
      </c>
      <c r="E469" s="6" t="str">
        <f>CLEAN("USH-012")</f>
        <v>USH-012</v>
      </c>
      <c r="F469" s="4">
        <v>43900</v>
      </c>
      <c r="G469" s="3" t="str">
        <f>CLEAN("BARABOO - SAUK CITY")</f>
        <v>BARABOO - SAUK CITY</v>
      </c>
      <c r="H469" s="3" t="str">
        <f>CLEAN("CTH C TO WATERBURY ROAD")</f>
        <v>CTH C TO WATERBURY ROAD</v>
      </c>
      <c r="I469" s="3" t="str">
        <f>CLEAN("CONST/REALIGN CURVES")</f>
        <v>CONST/REALIGN CURVES</v>
      </c>
      <c r="J469" s="3">
        <v>1.4390000000000001</v>
      </c>
    </row>
    <row r="470" spans="1:10" x14ac:dyDescent="0.25">
      <c r="A470" s="3" t="str">
        <f>CLEAN("SAUK")</f>
        <v>SAUK</v>
      </c>
      <c r="B470" s="6" t="str">
        <f>CLEAN("5918-00-01")</f>
        <v>5918-00-01</v>
      </c>
      <c r="C470" s="6" t="str">
        <f>CLEAN("5918-00-81")</f>
        <v>5918-00-81</v>
      </c>
      <c r="D470" s="6">
        <v>2020</v>
      </c>
      <c r="E470" s="6" t="str">
        <f>CLEAN("STH-136")</f>
        <v>STH-136</v>
      </c>
      <c r="F470" s="4">
        <v>43900</v>
      </c>
      <c r="G470" s="3" t="str">
        <f>CLEAN("BARABOO - CTH DL")</f>
        <v>BARABOO - CTH DL</v>
      </c>
      <c r="H470" s="3" t="str">
        <f>CLEAN("SKILLET CRK STRUCTURE B-56-237")</f>
        <v>SKILLET CRK STRUCTURE B-56-237</v>
      </c>
      <c r="I470" s="3" t="str">
        <f>CLEAN("CONST/REPLACE STRUCTURE")</f>
        <v>CONST/REPLACE STRUCTURE</v>
      </c>
      <c r="J470" s="3">
        <v>0</v>
      </c>
    </row>
    <row r="471" spans="1:10" x14ac:dyDescent="0.25">
      <c r="A471" s="3" t="str">
        <f>CLEAN("SAUK")</f>
        <v>SAUK</v>
      </c>
      <c r="B471" s="6" t="str">
        <f>CLEAN("5680-04-30")</f>
        <v>5680-04-30</v>
      </c>
      <c r="C471" s="6" t="str">
        <f>CLEAN("5680-04-60")</f>
        <v>5680-04-60</v>
      </c>
      <c r="D471" s="6">
        <v>2020</v>
      </c>
      <c r="E471" s="6" t="str">
        <f>CLEAN("STH-060")</f>
        <v>STH-060</v>
      </c>
      <c r="F471" s="4">
        <v>43935</v>
      </c>
      <c r="G471" s="3" t="str">
        <f>CLEAN("SPRING GREEN - SAUK CITY")</f>
        <v>SPRING GREEN - SAUK CITY</v>
      </c>
      <c r="H471" s="3" t="str">
        <f>CLEAN("USH 14 TO FOX RD")</f>
        <v>USH 14 TO FOX RD</v>
      </c>
      <c r="I471" s="3" t="str">
        <f>CLEAN("CONSTRUCTION/ MILL &amp; OVERLAY")</f>
        <v>CONSTRUCTION/ MILL &amp; OVERLAY</v>
      </c>
      <c r="J471" s="3">
        <v>10.39</v>
      </c>
    </row>
    <row r="472" spans="1:10" x14ac:dyDescent="0.25">
      <c r="A472" s="3" t="str">
        <f>CLEAN("SAUK")</f>
        <v>SAUK</v>
      </c>
      <c r="B472" s="6" t="str">
        <f>CLEAN("5637-02-00")</f>
        <v>5637-02-00</v>
      </c>
      <c r="C472" s="6" t="str">
        <f>CLEAN("5637-02-70")</f>
        <v>5637-02-70</v>
      </c>
      <c r="D472" s="6">
        <v>2020</v>
      </c>
      <c r="E472" s="6" t="str">
        <f>CLEAN("STH-033")</f>
        <v>STH-033</v>
      </c>
      <c r="F472" s="4">
        <v>43963</v>
      </c>
      <c r="G472" s="3" t="str">
        <f>CLEAN("SOUTHWEST REGION  ADA CURB RAMPS")</f>
        <v>SOUTHWEST REGION  ADA CURB RAMPS</v>
      </c>
      <c r="H472" s="3" t="str">
        <f>CLEAN("SAUK COUNTY VARIOUS LOCATIONS")</f>
        <v>SAUK COUNTY VARIOUS LOCATIONS</v>
      </c>
      <c r="I472" s="3" t="str">
        <f>CLEAN("CONST/ CURB RAMP PROGRAM")</f>
        <v>CONST/ CURB RAMP PROGRAM</v>
      </c>
      <c r="J472" s="3">
        <v>7.96</v>
      </c>
    </row>
    <row r="473" spans="1:10" x14ac:dyDescent="0.25">
      <c r="A473" s="3" t="str">
        <f>CLEAN("SAUK")</f>
        <v>SAUK</v>
      </c>
      <c r="B473" s="6" t="str">
        <f>CLEAN("5255-01-01")</f>
        <v>5255-01-01</v>
      </c>
      <c r="C473" s="6" t="str">
        <f>CLEAN("5255-01-81")</f>
        <v>5255-01-81</v>
      </c>
      <c r="D473" s="6">
        <v>2020</v>
      </c>
      <c r="E473" s="6" t="str">
        <f>CLEAN("STH-023")</f>
        <v>STH-023</v>
      </c>
      <c r="F473" s="4">
        <v>44026</v>
      </c>
      <c r="G473" s="3" t="str">
        <f>CLEAN("MINERAL POINT - SPRING GREEN")</f>
        <v>MINERAL POINT - SPRING GREEN</v>
      </c>
      <c r="H473" s="3" t="str">
        <f>CLEAN("WISCONSIN RIVER STRUCTURE B-25-0051")</f>
        <v>WISCONSIN RIVER STRUCTURE B-25-0051</v>
      </c>
      <c r="I473" s="3" t="str">
        <f>CLEAN("CONST/REPLACE DECK &amp; BPC")</f>
        <v>CONST/REPLACE DECK &amp; BPC</v>
      </c>
      <c r="J473" s="3">
        <v>0.187</v>
      </c>
    </row>
    <row r="474" spans="1:10" x14ac:dyDescent="0.25">
      <c r="A474" s="3" t="str">
        <f>CLEAN("SAUK")</f>
        <v>SAUK</v>
      </c>
      <c r="B474" s="6" t="str">
        <f>CLEAN("5630-06-02")</f>
        <v>5630-06-02</v>
      </c>
      <c r="C474" s="6" t="str">
        <f>CLEAN("5630-06-72")</f>
        <v>5630-06-72</v>
      </c>
      <c r="D474" s="6">
        <v>2021</v>
      </c>
      <c r="E474" s="6" t="str">
        <f>CLEAN("STH-078")</f>
        <v>STH-078</v>
      </c>
      <c r="F474" s="4">
        <v>44145</v>
      </c>
      <c r="G474" s="3" t="str">
        <f>CLEAN("SAUK CITY - IH 39")</f>
        <v>SAUK CITY - IH 39</v>
      </c>
      <c r="H474" s="3" t="str">
        <f>CLEAN("EAGLE VIEW COURT TO WEYNAND ROAD")</f>
        <v>EAGLE VIEW COURT TO WEYNAND ROAD</v>
      </c>
      <c r="I474" s="3" t="str">
        <f>CLEAN("CONST/ BASE AND SURFACE")</f>
        <v>CONST/ BASE AND SURFACE</v>
      </c>
      <c r="J474" s="3">
        <v>8.5419999999999998</v>
      </c>
    </row>
    <row r="475" spans="1:10" x14ac:dyDescent="0.25">
      <c r="A475" s="3" t="str">
        <f>CLEAN("SAUK")</f>
        <v>SAUK</v>
      </c>
      <c r="B475" s="6" t="str">
        <f>CLEAN("5050-02-01")</f>
        <v>5050-02-01</v>
      </c>
      <c r="C475" s="6" t="str">
        <f>CLEAN("5050-02-70")</f>
        <v>5050-02-70</v>
      </c>
      <c r="D475" s="6">
        <v>2021</v>
      </c>
      <c r="E475" s="6" t="str">
        <f>CLEAN("STH-023")</f>
        <v>STH-023</v>
      </c>
      <c r="F475" s="4">
        <v>44264</v>
      </c>
      <c r="G475" s="3" t="str">
        <f>CLEAN("REEDSBURG - WISCONSIN DELLS")</f>
        <v>REEDSBURG - WISCONSIN DELLS</v>
      </c>
      <c r="H475" s="3" t="str">
        <f>CLEAN("N JCT STH 33 INTERSECTION")</f>
        <v>N JCT STH 33 INTERSECTION</v>
      </c>
      <c r="I475" s="3" t="str">
        <f>CLEAN("CONST/LEFT TURN LANES")</f>
        <v>CONST/LEFT TURN LANES</v>
      </c>
      <c r="J475" s="3">
        <v>0.56799999999999995</v>
      </c>
    </row>
    <row r="476" spans="1:10" x14ac:dyDescent="0.25">
      <c r="A476" s="3" t="str">
        <f>CLEAN("SAUK")</f>
        <v>SAUK</v>
      </c>
      <c r="B476" s="6" t="str">
        <f>CLEAN("5050-02-01")</f>
        <v>5050-02-01</v>
      </c>
      <c r="C476" s="6" t="str">
        <f>CLEAN("5050-02-71")</f>
        <v>5050-02-71</v>
      </c>
      <c r="D476" s="6">
        <v>2021</v>
      </c>
      <c r="E476" s="6" t="str">
        <f>CLEAN("STH-023")</f>
        <v>STH-023</v>
      </c>
      <c r="F476" s="4">
        <v>44264</v>
      </c>
      <c r="G476" s="3" t="str">
        <f>CLEAN("REEDSBURG - WISCONSIN DELLS")</f>
        <v>REEDSBURG - WISCONSIN DELLS</v>
      </c>
      <c r="H476" s="3" t="str">
        <f>CLEAN("COPPER SPRINGS RD TO N JCT STH 33")</f>
        <v>COPPER SPRINGS RD TO N JCT STH 33</v>
      </c>
      <c r="I476" s="3" t="str">
        <f>CLEAN("CONST/ MILL AND OVERLAY")</f>
        <v>CONST/ MILL AND OVERLAY</v>
      </c>
      <c r="J476" s="3">
        <v>2.9529999999999998</v>
      </c>
    </row>
    <row r="477" spans="1:10" x14ac:dyDescent="0.25">
      <c r="A477" s="3" t="str">
        <f>CLEAN("SAUK")</f>
        <v>SAUK</v>
      </c>
      <c r="B477" s="6" t="str">
        <f>CLEAN("5050-02-02")</f>
        <v>5050-02-02</v>
      </c>
      <c r="C477" s="6" t="str">
        <f>CLEAN("5050-02-72")</f>
        <v>5050-02-72</v>
      </c>
      <c r="D477" s="6">
        <v>2021</v>
      </c>
      <c r="E477" s="6" t="str">
        <f>CLEAN("STH-033")</f>
        <v>STH-033</v>
      </c>
      <c r="F477" s="4">
        <v>44264</v>
      </c>
      <c r="G477" s="3" t="str">
        <f>CLEAN("REEDSBURG - BARABOO")</f>
        <v>REEDSBURG - BARABOO</v>
      </c>
      <c r="H477" s="3" t="str">
        <f>CLEAN("N JCT STH 23 TO USH 12")</f>
        <v>N JCT STH 23 TO USH 12</v>
      </c>
      <c r="I477" s="3" t="str">
        <f>CLEAN("CONST/ MILL AND OVERLAY")</f>
        <v>CONST/ MILL AND OVERLAY</v>
      </c>
      <c r="J477" s="3">
        <v>5.51</v>
      </c>
    </row>
    <row r="478" spans="1:10" x14ac:dyDescent="0.25">
      <c r="A478" s="3" t="str">
        <f>CLEAN("SAUK")</f>
        <v>SAUK</v>
      </c>
      <c r="B478" s="6" t="str">
        <f>CLEAN("5030-01-02")</f>
        <v>5030-01-02</v>
      </c>
      <c r="C478" s="6" t="str">
        <f>CLEAN("5030-01-72")</f>
        <v>5030-01-72</v>
      </c>
      <c r="D478" s="6">
        <v>2023</v>
      </c>
      <c r="E478" s="6" t="str">
        <f>CLEAN("STH-033")</f>
        <v>STH-033</v>
      </c>
      <c r="F478" s="4">
        <v>44873</v>
      </c>
      <c r="G478" s="3" t="str">
        <f>CLEAN("HILLSBORO - REEDSBURG")</f>
        <v>HILLSBORO - REEDSBURG</v>
      </c>
      <c r="H478" s="3" t="str">
        <f>CLEAN("V WONEWOC S LIMITS TO MAIN STREET")</f>
        <v>V WONEWOC S LIMITS TO MAIN STREET</v>
      </c>
      <c r="I478" s="3" t="str">
        <f>CLEAN("CONST/ MILL AND OVERLAY")</f>
        <v>CONST/ MILL AND OVERLAY</v>
      </c>
      <c r="J478" s="3">
        <v>7.181</v>
      </c>
    </row>
    <row r="479" spans="1:10" x14ac:dyDescent="0.25">
      <c r="A479" s="3" t="str">
        <f>CLEAN("SAUK")</f>
        <v>SAUK</v>
      </c>
      <c r="B479" s="6" t="str">
        <f>CLEAN("5030-01-03")</f>
        <v>5030-01-03</v>
      </c>
      <c r="C479" s="6" t="str">
        <f>CLEAN("5030-01-73")</f>
        <v>5030-01-73</v>
      </c>
      <c r="D479" s="6">
        <v>2023</v>
      </c>
      <c r="E479" s="6" t="str">
        <f>CLEAN("STH-033")</f>
        <v>STH-033</v>
      </c>
      <c r="F479" s="4">
        <v>44873</v>
      </c>
      <c r="G479" s="3" t="str">
        <f>CLEAN("HILLSBORO - REEDSBURG")</f>
        <v>HILLSBORO - REEDSBURG</v>
      </c>
      <c r="H479" s="3" t="str">
        <f>CLEAN("LA VALLE STREET TO PRESTON AVENUE")</f>
        <v>LA VALLE STREET TO PRESTON AVENUE</v>
      </c>
      <c r="I479" s="3" t="str">
        <f>CLEAN("CONST/ MILL AND OVERLAY")</f>
        <v>CONST/ MILL AND OVERLAY</v>
      </c>
      <c r="J479" s="3">
        <v>6.5759999999999996</v>
      </c>
    </row>
    <row r="480" spans="1:10" x14ac:dyDescent="0.25">
      <c r="A480" s="3" t="str">
        <f>CLEAN("SAUK")</f>
        <v>SAUK</v>
      </c>
      <c r="B480" s="6" t="str">
        <f>CLEAN("5030-01-04")</f>
        <v>5030-01-04</v>
      </c>
      <c r="C480" s="6" t="str">
        <f>CLEAN("5030-01-74")</f>
        <v>5030-01-74</v>
      </c>
      <c r="D480" s="6">
        <v>2023</v>
      </c>
      <c r="E480" s="6" t="str">
        <f>CLEAN("STH-033")</f>
        <v>STH-033</v>
      </c>
      <c r="F480" s="4">
        <v>44873</v>
      </c>
      <c r="G480" s="3" t="str">
        <f>CLEAN("REEDSBURG - BARABOO")</f>
        <v>REEDSBURG - BARABOO</v>
      </c>
      <c r="H480" s="3" t="str">
        <f>CLEAN("PRESTON AVENUE TO STH 23")</f>
        <v>PRESTON AVENUE TO STH 23</v>
      </c>
      <c r="I480" s="3" t="str">
        <f>CLEAN("CONST/ MILL &amp; OVERLAY")</f>
        <v>CONST/ MILL &amp; OVERLAY</v>
      </c>
      <c r="J480" s="3">
        <v>0.28999999999999998</v>
      </c>
    </row>
    <row r="481" spans="1:10" x14ac:dyDescent="0.25">
      <c r="A481" s="3" t="str">
        <f>CLEAN("SAUK")</f>
        <v>SAUK</v>
      </c>
      <c r="B481" s="6" t="str">
        <f>CLEAN("5050-01-06")</f>
        <v>5050-01-06</v>
      </c>
      <c r="C481" s="6" t="str">
        <f>CLEAN("5050-01-76")</f>
        <v>5050-01-76</v>
      </c>
      <c r="D481" s="6">
        <v>2023</v>
      </c>
      <c r="E481" s="6" t="str">
        <f>CLEAN("STH-023")</f>
        <v>STH-023</v>
      </c>
      <c r="F481" s="4">
        <v>44908</v>
      </c>
      <c r="G481" s="3" t="str">
        <f>CLEAN("REEDSBURG - WISCONSIN DELLS")</f>
        <v>REEDSBURG - WISCONSIN DELLS</v>
      </c>
      <c r="H481" s="3" t="str">
        <f>CLEAN("STH 136 INTERSECTION")</f>
        <v>STH 136 INTERSECTION</v>
      </c>
      <c r="I481" s="3" t="str">
        <f>CLEAN("CONST/INTERSECTION IMPROVEMENT/RAB")</f>
        <v>CONST/INTERSECTION IMPROVEMENT/RAB</v>
      </c>
      <c r="J481" s="3">
        <v>0.48699999999999999</v>
      </c>
    </row>
    <row r="482" spans="1:10" x14ac:dyDescent="0.25">
      <c r="A482" s="3" t="str">
        <f>CLEAN("SAUK")</f>
        <v>SAUK</v>
      </c>
      <c r="B482" s="6" t="str">
        <f>CLEAN("5080-02-02")</f>
        <v>5080-02-02</v>
      </c>
      <c r="C482" s="6" t="str">
        <f>CLEAN("5080-02-82")</f>
        <v>5080-02-82</v>
      </c>
      <c r="D482" s="6">
        <v>2023</v>
      </c>
      <c r="E482" s="6" t="str">
        <f>CLEAN("STH-023")</f>
        <v>STH-023</v>
      </c>
      <c r="F482" s="4">
        <v>44908</v>
      </c>
      <c r="G482" s="3" t="str">
        <f>CLEAN("SPRING GREEN - REEDSBURG")</f>
        <v>SPRING GREEN - REEDSBURG</v>
      </c>
      <c r="H482" s="3" t="str">
        <f>CLEAN("STRUCTURES B-56-235 &amp; B-56-236")</f>
        <v>STRUCTURES B-56-235 &amp; B-56-236</v>
      </c>
      <c r="I482" s="3" t="str">
        <f>CLEAN("CONST/REPLACE STRUCTURE")</f>
        <v>CONST/REPLACE STRUCTURE</v>
      </c>
      <c r="J482" s="3">
        <v>5.0000000000000001E-3</v>
      </c>
    </row>
    <row r="483" spans="1:10" x14ac:dyDescent="0.25">
      <c r="A483" s="3" t="str">
        <f>CLEAN("SAUK")</f>
        <v>SAUK</v>
      </c>
      <c r="B483" s="6" t="str">
        <f>CLEAN("5080-02-04")</f>
        <v>5080-02-04</v>
      </c>
      <c r="C483" s="6" t="str">
        <f>CLEAN("5080-02-74")</f>
        <v>5080-02-74</v>
      </c>
      <c r="D483" s="6">
        <v>2023</v>
      </c>
      <c r="E483" s="6" t="str">
        <f>CLEAN("STH-023")</f>
        <v>STH-023</v>
      </c>
      <c r="F483" s="4">
        <v>44908</v>
      </c>
      <c r="G483" s="3" t="str">
        <f>CLEAN("SPRING GREEN - REEDSBURG")</f>
        <v>SPRING GREEN - REEDSBURG</v>
      </c>
      <c r="H483" s="3" t="str">
        <f>CLEAN("USH 14 TO CTH GG")</f>
        <v>USH 14 TO CTH GG</v>
      </c>
      <c r="I483" s="3" t="str">
        <f>CLEAN("CONST/ MILL AND OVERLAY")</f>
        <v>CONST/ MILL AND OVERLAY</v>
      </c>
      <c r="J483" s="3">
        <v>12.03</v>
      </c>
    </row>
    <row r="484" spans="1:10" x14ac:dyDescent="0.25">
      <c r="A484" s="3" t="str">
        <f>CLEAN("SAUK")</f>
        <v>SAUK</v>
      </c>
      <c r="B484" s="6" t="str">
        <f>CLEAN("5080-02-04")</f>
        <v>5080-02-04</v>
      </c>
      <c r="C484" s="6" t="str">
        <f>CLEAN("5080-02-75")</f>
        <v>5080-02-75</v>
      </c>
      <c r="D484" s="6">
        <v>2023</v>
      </c>
      <c r="E484" s="6" t="str">
        <f>CLEAN("STH-023")</f>
        <v>STH-023</v>
      </c>
      <c r="F484" s="4">
        <v>44908</v>
      </c>
      <c r="G484" s="3" t="str">
        <f>CLEAN("SPRING GREEN - REEDSBURG")</f>
        <v>SPRING GREEN - REEDSBURG</v>
      </c>
      <c r="H484" s="3" t="str">
        <f>CLEAN("USH 14 TO CTH GG")</f>
        <v>USH 14 TO CTH GG</v>
      </c>
      <c r="I484" s="3" t="str">
        <f>CLEAN("CONST/SANITARY SEWER &amp; WATER MAIN")</f>
        <v>CONST/SANITARY SEWER &amp; WATER MAIN</v>
      </c>
      <c r="J484" s="3">
        <v>1.06</v>
      </c>
    </row>
    <row r="485" spans="1:10" x14ac:dyDescent="0.25">
      <c r="A485" s="3" t="str">
        <f>CLEAN("SAUK")</f>
        <v>SAUK</v>
      </c>
      <c r="B485" s="6" t="str">
        <f>CLEAN("5090-05-01")</f>
        <v>5090-05-01</v>
      </c>
      <c r="C485" s="6" t="str">
        <f>CLEAN("5090-05-71")</f>
        <v>5090-05-71</v>
      </c>
      <c r="D485" s="6">
        <v>2024</v>
      </c>
      <c r="E485" s="6" t="str">
        <f>CLEAN("STH-033")</f>
        <v>STH-033</v>
      </c>
      <c r="F485" s="4">
        <v>45146</v>
      </c>
      <c r="G485" s="3" t="str">
        <f>CLEAN("C BARABOO  EIGHTH STREET")</f>
        <v>C BARABOO  EIGHTH STREET</v>
      </c>
      <c r="H485" s="3" t="str">
        <f>CLEAN("W CITY LIMIT TO LINCOLN AVENUE")</f>
        <v>W CITY LIMIT TO LINCOLN AVENUE</v>
      </c>
      <c r="I485" s="3" t="str">
        <f>CLEAN("CONST/ PAVEMENT REPLACEMENT")</f>
        <v>CONST/ PAVEMENT REPLACEMENT</v>
      </c>
      <c r="J485" s="3">
        <v>1.9</v>
      </c>
    </row>
    <row r="486" spans="1:10" x14ac:dyDescent="0.25">
      <c r="A486" s="3" t="str">
        <f>CLEAN("SAUK")</f>
        <v>SAUK</v>
      </c>
      <c r="B486" s="6" t="str">
        <f>CLEAN("5090-05-30")</f>
        <v>5090-05-30</v>
      </c>
      <c r="C486" s="6" t="str">
        <f>CLEAN("5090-05-60")</f>
        <v>5090-05-60</v>
      </c>
      <c r="D486" s="6">
        <v>2024</v>
      </c>
      <c r="E486" s="6" t="str">
        <f>CLEAN("STH-033")</f>
        <v>STH-033</v>
      </c>
      <c r="F486" s="4">
        <v>45146</v>
      </c>
      <c r="G486" s="3" t="str">
        <f>CLEAN("REEDSBURG - BARABOO")</f>
        <v>REEDSBURG - BARABOO</v>
      </c>
      <c r="H486" s="3" t="str">
        <f>CLEAN("W MULBERRY ST TO E V LIMITS")</f>
        <v>W MULBERRY ST TO E V LIMITS</v>
      </c>
      <c r="I486" s="3" t="str">
        <f>CLEAN("CONST/ PAVEMENT REPLACEMENT")</f>
        <v>CONST/ PAVEMENT REPLACEMENT</v>
      </c>
      <c r="J486" s="3">
        <v>0.41</v>
      </c>
    </row>
    <row r="487" spans="1:10" x14ac:dyDescent="0.25">
      <c r="A487" s="3" t="str">
        <f>CLEAN("SAUK")</f>
        <v>SAUK</v>
      </c>
      <c r="B487" s="6" t="str">
        <f>CLEAN("1016-01-31")</f>
        <v>1016-01-31</v>
      </c>
      <c r="C487" s="6" t="str">
        <f>CLEAN("1016-01-63")</f>
        <v>1016-01-63</v>
      </c>
      <c r="D487" s="6">
        <v>2024</v>
      </c>
      <c r="E487" s="6" t="str">
        <f>CLEAN("IH -090")</f>
        <v>IH -090</v>
      </c>
      <c r="F487" s="4">
        <v>45244</v>
      </c>
      <c r="G487" s="3" t="str">
        <f>CLEAN("TOMAH - PORTAGE")</f>
        <v>TOMAH - PORTAGE</v>
      </c>
      <c r="H487" s="3" t="str">
        <f>CLEAN("MIRROR LAKE BRIDGE TO STH 33")</f>
        <v>MIRROR LAKE BRIDGE TO STH 33</v>
      </c>
      <c r="I487" s="3" t="str">
        <f>CLEAN("CONST/PAVT REPAIR/PAVED SHLDR/PIPE")</f>
        <v>CONST/PAVT REPAIR/PAVED SHLDR/PIPE</v>
      </c>
      <c r="J487" s="3">
        <v>14.6</v>
      </c>
    </row>
    <row r="488" spans="1:10" x14ac:dyDescent="0.25">
      <c r="A488" s="3" t="str">
        <f>CLEAN("SAUK")</f>
        <v>SAUK</v>
      </c>
      <c r="B488" s="6" t="str">
        <f>CLEAN("5080-09-03")</f>
        <v>5080-09-03</v>
      </c>
      <c r="C488" s="6" t="str">
        <f>CLEAN("5080-09-73")</f>
        <v>5080-09-73</v>
      </c>
      <c r="D488" s="6">
        <v>2024</v>
      </c>
      <c r="E488" s="6" t="str">
        <f>CLEAN("STH-023")</f>
        <v>STH-023</v>
      </c>
      <c r="F488" s="4">
        <v>45244</v>
      </c>
      <c r="G488" s="3" t="str">
        <f>CLEAN("SPRING GREEN - REEDSBURG")</f>
        <v>SPRING GREEN - REEDSBURG</v>
      </c>
      <c r="H488" s="3" t="str">
        <f>CLEAN("ELDER RIDGE ROAD TO CTH K")</f>
        <v>ELDER RIDGE ROAD TO CTH K</v>
      </c>
      <c r="I488" s="3" t="str">
        <f>CLEAN("CONST/ PAVE REPLACE")</f>
        <v>CONST/ PAVE REPLACE</v>
      </c>
      <c r="J488" s="3">
        <v>8.1199999999999992</v>
      </c>
    </row>
    <row r="489" spans="1:10" x14ac:dyDescent="0.25">
      <c r="A489" s="3" t="str">
        <f>CLEAN("SAUK")</f>
        <v>SAUK</v>
      </c>
      <c r="B489" s="6" t="str">
        <f>CLEAN("5255-01-03")</f>
        <v>5255-01-03</v>
      </c>
      <c r="C489" s="6" t="str">
        <f>CLEAN("5255-01-73")</f>
        <v>5255-01-73</v>
      </c>
      <c r="D489" s="6">
        <v>2024</v>
      </c>
      <c r="E489" s="6" t="str">
        <f>CLEAN("STH-023")</f>
        <v>STH-023</v>
      </c>
      <c r="F489" s="4">
        <v>45244</v>
      </c>
      <c r="G489" s="3" t="str">
        <f>CLEAN("MINERAL POINT - SPRING GREEN")</f>
        <v>MINERAL POINT - SPRING GREEN</v>
      </c>
      <c r="H489" s="3" t="str">
        <f>CLEAN("WISCONSIN RIVER BRIDGE TO USH 14")</f>
        <v>WISCONSIN RIVER BRIDGE TO USH 14</v>
      </c>
      <c r="I489" s="3" t="str">
        <f>CLEAN("CONST/ MILL AND OVERLAY")</f>
        <v>CONST/ MILL AND OVERLAY</v>
      </c>
      <c r="J489" s="3">
        <v>2.79</v>
      </c>
    </row>
    <row r="490" spans="1:10" x14ac:dyDescent="0.25">
      <c r="A490" s="3" t="str">
        <f>CLEAN("SAUK")</f>
        <v>SAUK</v>
      </c>
      <c r="B490" s="6" t="str">
        <f>CLEAN("5752-00-02")</f>
        <v>5752-00-02</v>
      </c>
      <c r="C490" s="6" t="str">
        <f>CLEAN("5752-00-72")</f>
        <v>5752-00-72</v>
      </c>
      <c r="D490" s="6">
        <v>2024</v>
      </c>
      <c r="E490" s="6" t="str">
        <f>CLEAN("STH-058")</f>
        <v>STH-058</v>
      </c>
      <c r="F490" s="4">
        <v>45244</v>
      </c>
      <c r="G490" s="3" t="str">
        <f>CLEAN("USH 14 - LAVALLE")</f>
        <v>USH 14 - LAVALLE</v>
      </c>
      <c r="H490" s="3" t="str">
        <f>CLEAN("LEE LAKE BRIDGE TO STH 33")</f>
        <v>LEE LAKE BRIDGE TO STH 33</v>
      </c>
      <c r="I490" s="3" t="str">
        <f>CLEAN("CONST/ MILL AND OVERLAY")</f>
        <v>CONST/ MILL AND OVERLAY</v>
      </c>
      <c r="J490" s="3">
        <v>6.7380000000000004</v>
      </c>
    </row>
    <row r="491" spans="1:10" x14ac:dyDescent="0.25">
      <c r="A491" s="3" t="str">
        <f>CLEAN("SAUK")</f>
        <v>SAUK</v>
      </c>
      <c r="B491" s="6" t="str">
        <f>CLEAN("1014-00-07")</f>
        <v>1014-00-07</v>
      </c>
      <c r="C491" s="6" t="str">
        <f>CLEAN("1014-00-77")</f>
        <v>1014-00-77</v>
      </c>
      <c r="D491" s="6">
        <v>2024</v>
      </c>
      <c r="E491" s="6" t="str">
        <f>CLEAN("IH -090")</f>
        <v>IH -090</v>
      </c>
      <c r="F491" s="4">
        <v>45335</v>
      </c>
      <c r="G491" s="3" t="str">
        <f>CLEAN("WISCONSIN DELL - PORTAGE")</f>
        <v>WISCONSIN DELL - PORTAGE</v>
      </c>
      <c r="H491" s="3" t="str">
        <f>CLEAN("ISHNALA RD TO SCHEPPS RD  EB ONLY")</f>
        <v>ISHNALA RD TO SCHEPPS RD  EB ONLY</v>
      </c>
      <c r="I491" s="3" t="str">
        <f>CLEAN("CONST/RESURFACE EB RDWY")</f>
        <v>CONST/RESURFACE EB RDWY</v>
      </c>
      <c r="J491" s="3">
        <v>8.3670000000000009</v>
      </c>
    </row>
    <row r="492" spans="1:10" x14ac:dyDescent="0.25">
      <c r="A492" s="3" t="str">
        <f>CLEAN("SAUK")</f>
        <v>SAUK</v>
      </c>
      <c r="B492" s="6" t="str">
        <f>CLEAN("5060-00-07")</f>
        <v>5060-00-07</v>
      </c>
      <c r="C492" s="6" t="str">
        <f>CLEAN("5060-00-77")</f>
        <v>5060-00-77</v>
      </c>
      <c r="D492" s="6">
        <v>2025</v>
      </c>
      <c r="E492" s="6" t="str">
        <f>CLEAN("STH-023")</f>
        <v>STH-023</v>
      </c>
      <c r="F492" s="4">
        <v>45608</v>
      </c>
      <c r="G492" s="3" t="str">
        <f>CLEAN("REEDSBURG - WISCONSIN DELLS")</f>
        <v>REEDSBURG - WISCONSIN DELLS</v>
      </c>
      <c r="H492" s="3" t="str">
        <f>CLEAN("STH 33 TO IH 90 RAMP")</f>
        <v>STH 33 TO IH 90 RAMP</v>
      </c>
      <c r="I492" s="3" t="str">
        <f>CLEAN("CONST/ PAVE REPLACE")</f>
        <v>CONST/ PAVE REPLACE</v>
      </c>
      <c r="J492" s="3">
        <v>6.99</v>
      </c>
    </row>
    <row r="493" spans="1:10" x14ac:dyDescent="0.25">
      <c r="A493" s="3" t="str">
        <f>CLEAN("SAUK")</f>
        <v>SAUK</v>
      </c>
      <c r="B493" s="6" t="str">
        <f>CLEAN("5680-04-00")</f>
        <v>5680-04-00</v>
      </c>
      <c r="C493" s="6" t="str">
        <f>CLEAN("5680-04-70")</f>
        <v>5680-04-70</v>
      </c>
      <c r="D493" s="6">
        <v>2025</v>
      </c>
      <c r="E493" s="6" t="str">
        <f>CLEAN("STH-060")</f>
        <v>STH-060</v>
      </c>
      <c r="F493" s="4">
        <v>45608</v>
      </c>
      <c r="G493" s="3" t="str">
        <f>CLEAN("SPRING GREEN - SAUK CITY")</f>
        <v>SPRING GREEN - SAUK CITY</v>
      </c>
      <c r="H493" s="3" t="str">
        <f>CLEAN("FOX ROAD TO USH 12")</f>
        <v>FOX ROAD TO USH 12</v>
      </c>
      <c r="I493" s="3" t="str">
        <f>CLEAN("CONST/ MILL AND OVERLAY")</f>
        <v>CONST/ MILL AND OVERLAY</v>
      </c>
      <c r="J493" s="3">
        <v>9.3800000000000008</v>
      </c>
    </row>
    <row r="494" spans="1:10" x14ac:dyDescent="0.25">
      <c r="A494" s="3" t="str">
        <f>CLEAN("SAUK")</f>
        <v>SAUK</v>
      </c>
      <c r="B494" s="6" t="str">
        <f>CLEAN("1014-00-05")</f>
        <v>1014-00-05</v>
      </c>
      <c r="C494" s="6" t="str">
        <f>CLEAN("1014-00-75")</f>
        <v>1014-00-75</v>
      </c>
      <c r="D494" s="6">
        <v>2025</v>
      </c>
      <c r="E494" s="6" t="str">
        <f>CLEAN("IH -090")</f>
        <v>IH -090</v>
      </c>
      <c r="F494" s="4">
        <v>45699</v>
      </c>
      <c r="G494" s="3" t="str">
        <f>CLEAN("MAUSTON - WISCONSIN DELLS")</f>
        <v>MAUSTON - WISCONSIN DELLS</v>
      </c>
      <c r="H494" s="3" t="str">
        <f>CLEAN("USH 12 TO STH 23")</f>
        <v>USH 12 TO STH 23</v>
      </c>
      <c r="I494" s="3" t="str">
        <f>CLEAN("CONST OPS/RESURFACING")</f>
        <v>CONST OPS/RESURFACING</v>
      </c>
      <c r="J494" s="3">
        <v>4.26</v>
      </c>
    </row>
    <row r="495" spans="1:10" x14ac:dyDescent="0.25">
      <c r="A495" s="3"/>
      <c r="B495" s="6"/>
      <c r="C495" s="6"/>
      <c r="D495" s="6"/>
      <c r="E495" s="6"/>
      <c r="F495" s="4"/>
      <c r="G495" s="3"/>
      <c r="H495" s="3"/>
      <c r="I495" s="3"/>
      <c r="J495" s="3"/>
    </row>
    <row r="496" spans="1:10" x14ac:dyDescent="0.25">
      <c r="A496" s="3" t="str">
        <f>CLEAN("STATEWIDE")</f>
        <v>STATEWIDE</v>
      </c>
      <c r="B496" s="6" t="str">
        <f>CLEAN("6115-00-80")</f>
        <v>6115-00-80</v>
      </c>
      <c r="C496" s="6" t="str">
        <f>CLEAN("6115-00-80")</f>
        <v>6115-00-80</v>
      </c>
      <c r="D496" s="6">
        <v>2020</v>
      </c>
      <c r="E496" s="6" t="str">
        <f>CLEAN("VAR-HWY")</f>
        <v>VAR-HWY</v>
      </c>
      <c r="F496" s="4">
        <v>43855</v>
      </c>
      <c r="G496" s="3" t="str">
        <f>CLEAN("COLUMBIA COUNTY  CULVERTS")</f>
        <v>COLUMBIA COUNTY  CULVERTS</v>
      </c>
      <c r="H496" s="3" t="str">
        <f>CLEAN("VARIOUS CULVERT LOCATIONS")</f>
        <v>VARIOUS CULVERT LOCATIONS</v>
      </c>
      <c r="I496" s="3" t="str">
        <f>CLEAN("LFA/ REPLACE 10 PIPE CULVERTS")</f>
        <v>LFA/ REPLACE 10 PIPE CULVERTS</v>
      </c>
      <c r="J496" s="3">
        <v>0.18</v>
      </c>
    </row>
    <row r="497" spans="1:10" x14ac:dyDescent="0.25">
      <c r="A497" s="3"/>
      <c r="B497" s="6"/>
      <c r="C497" s="6"/>
      <c r="D497" s="6"/>
      <c r="E497" s="6"/>
      <c r="F497" s="4"/>
      <c r="G497" s="3"/>
      <c r="H497" s="3"/>
      <c r="I497" s="3"/>
      <c r="J497" s="3"/>
    </row>
    <row r="498" spans="1:10" x14ac:dyDescent="0.25">
      <c r="A498" s="3" t="str">
        <f>CLEAN("VERNON")</f>
        <v>VERNON</v>
      </c>
      <c r="B498" s="6" t="str">
        <f>CLEAN("5163-09-00")</f>
        <v>5163-09-00</v>
      </c>
      <c r="C498" s="6" t="str">
        <f>CLEAN("5163-09-71")</f>
        <v>5163-09-71</v>
      </c>
      <c r="D498" s="6">
        <v>2020</v>
      </c>
      <c r="E498" s="6" t="str">
        <f>CLEAN("STH-035")</f>
        <v>STH-035</v>
      </c>
      <c r="F498" s="4">
        <v>43900</v>
      </c>
      <c r="G498" s="3" t="str">
        <f>CLEAN("GENOA - STODDARD")</f>
        <v>GENOA - STODDARD</v>
      </c>
      <c r="H498" s="3" t="str">
        <f>CLEAN("STH 56 TO S VILLAGE LIMIT STODDARD")</f>
        <v>STH 56 TO S VILLAGE LIMIT STODDARD</v>
      </c>
      <c r="I498" s="3" t="str">
        <f>CLEAN("CONST/PAVMT REPL/B62-0124 0125 0126")</f>
        <v>CONST/PAVMT REPL/B62-0124 0125 0126</v>
      </c>
      <c r="J498" s="3">
        <v>6.016</v>
      </c>
    </row>
    <row r="499" spans="1:10" x14ac:dyDescent="0.25">
      <c r="A499" s="3" t="str">
        <f>CLEAN("VERNON")</f>
        <v>VERNON</v>
      </c>
      <c r="B499" s="6" t="str">
        <f>CLEAN("5163-09-00")</f>
        <v>5163-09-00</v>
      </c>
      <c r="C499" s="6" t="str">
        <f>CLEAN("5163-09-72")</f>
        <v>5163-09-72</v>
      </c>
      <c r="D499" s="6">
        <v>2020</v>
      </c>
      <c r="E499" s="6" t="str">
        <f>CLEAN("STH-035")</f>
        <v>STH-035</v>
      </c>
      <c r="F499" s="4">
        <v>43900</v>
      </c>
      <c r="G499" s="3" t="str">
        <f>CLEAN("MAIN STREET V OF STODDARD")</f>
        <v>MAIN STREET V OF STODDARD</v>
      </c>
      <c r="H499" s="3" t="str">
        <f>CLEAN("SOUTH V LIMIT TO NORTH V LIMIT")</f>
        <v>SOUTH V LIMIT TO NORTH V LIMIT</v>
      </c>
      <c r="I499" s="3" t="str">
        <f>CLEAN("CONST/RECONDITION PVMNT")</f>
        <v>CONST/RECONDITION PVMNT</v>
      </c>
      <c r="J499" s="3">
        <v>0.878</v>
      </c>
    </row>
    <row r="500" spans="1:10" x14ac:dyDescent="0.25">
      <c r="A500" s="3" t="str">
        <f>CLEAN("VERNON")</f>
        <v>VERNON</v>
      </c>
      <c r="B500" s="6" t="str">
        <f>CLEAN("5163-09-00")</f>
        <v>5163-09-00</v>
      </c>
      <c r="C500" s="6" t="str">
        <f>CLEAN("5163-09-73")</f>
        <v>5163-09-73</v>
      </c>
      <c r="D500" s="6">
        <v>2020</v>
      </c>
      <c r="E500" s="6" t="str">
        <f>CLEAN("STH-035")</f>
        <v>STH-035</v>
      </c>
      <c r="F500" s="4">
        <v>43900</v>
      </c>
      <c r="G500" s="3" t="str">
        <f>CLEAN("MAIN STREET VILLAGE OF STODDARD")</f>
        <v>MAIN STREET VILLAGE OF STODDARD</v>
      </c>
      <c r="H500" s="3" t="str">
        <f>CLEAN("FR .29 M S STH 162 NORTHERLY .91 MI")</f>
        <v>FR .29 M S STH 162 NORTHERLY .91 MI</v>
      </c>
      <c r="I500" s="3" t="str">
        <f>CLEAN("CONSTR OPS/SANITARY SEWER &amp; WATER")</f>
        <v>CONSTR OPS/SANITARY SEWER &amp; WATER</v>
      </c>
      <c r="J500" s="3">
        <v>0</v>
      </c>
    </row>
    <row r="501" spans="1:10" x14ac:dyDescent="0.25">
      <c r="A501" s="3" t="str">
        <f>CLEAN("VERNON")</f>
        <v>VERNON</v>
      </c>
      <c r="B501" s="6" t="str">
        <f>CLEAN("5140-03-02")</f>
        <v>5140-03-02</v>
      </c>
      <c r="C501" s="6" t="str">
        <f>CLEAN("5140-03-72")</f>
        <v>5140-03-72</v>
      </c>
      <c r="D501" s="6">
        <v>2021</v>
      </c>
      <c r="E501" s="6" t="str">
        <f>CLEAN("STH-027")</f>
        <v>STH-027</v>
      </c>
      <c r="F501" s="4">
        <v>44054</v>
      </c>
      <c r="G501" s="3" t="str">
        <f>CLEAN("WESTBY - CASHTON")</f>
        <v>WESTBY - CASHTON</v>
      </c>
      <c r="H501" s="3" t="str">
        <f>CLEAN("SOUTH JUNCTION CTH P/SAUGSTAD ROAD")</f>
        <v>SOUTH JUNCTION CTH P/SAUGSTAD ROAD</v>
      </c>
      <c r="I501" s="3" t="str">
        <f>CLEAN("CONST/LEFT TURN LANE")</f>
        <v>CONST/LEFT TURN LANE</v>
      </c>
      <c r="J501" s="3">
        <v>0.34899999999999998</v>
      </c>
    </row>
    <row r="502" spans="1:10" x14ac:dyDescent="0.25">
      <c r="A502" s="3" t="str">
        <f>CLEAN("VERNON")</f>
        <v>VERNON</v>
      </c>
      <c r="B502" s="6" t="str">
        <f>CLEAN("1640-04-30")</f>
        <v>1640-04-30</v>
      </c>
      <c r="C502" s="6" t="str">
        <f>CLEAN("1640-04-60")</f>
        <v>1640-04-60</v>
      </c>
      <c r="D502" s="6">
        <v>2021</v>
      </c>
      <c r="E502" s="6" t="str">
        <f>CLEAN("USH-014")</f>
        <v>USH-014</v>
      </c>
      <c r="F502" s="4">
        <v>44145</v>
      </c>
      <c r="G502" s="3" t="str">
        <f>CLEAN("WESTBY - READSTOWN")</f>
        <v>WESTBY - READSTOWN</v>
      </c>
      <c r="H502" s="3" t="str">
        <f>CLEAN("RUSK AVENUE TO KICKAPOO RIVER")</f>
        <v>RUSK AVENUE TO KICKAPOO RIVER</v>
      </c>
      <c r="I502" s="3" t="str">
        <f>CLEAN("CONST/ MILL AND OVERLAY")</f>
        <v>CONST/ MILL AND OVERLAY</v>
      </c>
      <c r="J502" s="3">
        <v>9.3049999999999997</v>
      </c>
    </row>
    <row r="503" spans="1:10" x14ac:dyDescent="0.25">
      <c r="A503" s="3" t="str">
        <f>CLEAN("VERNON")</f>
        <v>VERNON</v>
      </c>
      <c r="B503" s="6" t="str">
        <f>CLEAN("1640-03-02")</f>
        <v>1640-03-02</v>
      </c>
      <c r="C503" s="6" t="str">
        <f>CLEAN("1640-03-72")</f>
        <v>1640-03-72</v>
      </c>
      <c r="D503" s="6">
        <v>2022</v>
      </c>
      <c r="E503" s="6" t="str">
        <f>CLEAN("USH-014")</f>
        <v>USH-014</v>
      </c>
      <c r="F503" s="4">
        <v>44544</v>
      </c>
      <c r="G503" s="3" t="str">
        <f>CLEAN("LA CROSSE - WESTBY")</f>
        <v>LA CROSSE - WESTBY</v>
      </c>
      <c r="H503" s="3" t="str">
        <f>CLEAN(".17M E MATHISON LN TO HIGH ECHO LN")</f>
        <v>.17M E MATHISON LN TO HIGH ECHO LN</v>
      </c>
      <c r="I503" s="3" t="str">
        <f>CLEAN("CONST/ MILL AND OVERLAY")</f>
        <v>CONST/ MILL AND OVERLAY</v>
      </c>
      <c r="J503" s="3">
        <v>5.2270000000000003</v>
      </c>
    </row>
    <row r="504" spans="1:10" x14ac:dyDescent="0.25">
      <c r="A504" s="3" t="str">
        <f>CLEAN("VERNON")</f>
        <v>VERNON</v>
      </c>
      <c r="B504" s="6" t="str">
        <f>CLEAN("5160-06-00")</f>
        <v>5160-06-00</v>
      </c>
      <c r="C504" s="6" t="str">
        <f>CLEAN("5160-06-70")</f>
        <v>5160-06-70</v>
      </c>
      <c r="D504" s="6">
        <v>2022</v>
      </c>
      <c r="E504" s="6" t="str">
        <f>CLEAN("STH-035")</f>
        <v>STH-035</v>
      </c>
      <c r="F504" s="4">
        <v>44544</v>
      </c>
      <c r="G504" s="3" t="str">
        <f>CLEAN("GENOA - LACROSSE")</f>
        <v>GENOA - LACROSSE</v>
      </c>
      <c r="H504" s="3" t="str">
        <f>CLEAN("V STODDARD N LIMIT TO N COUNTY LINE")</f>
        <v>V STODDARD N LIMIT TO N COUNTY LINE</v>
      </c>
      <c r="I504" s="3" t="str">
        <f>CLEAN("CONST/ MILL AND OVERLAY")</f>
        <v>CONST/ MILL AND OVERLAY</v>
      </c>
      <c r="J504" s="3">
        <v>4.09</v>
      </c>
    </row>
    <row r="505" spans="1:10" x14ac:dyDescent="0.25">
      <c r="A505" s="3" t="str">
        <f>CLEAN("VERNON")</f>
        <v>VERNON</v>
      </c>
      <c r="B505" s="6" t="str">
        <f>CLEAN("5160-07-01")</f>
        <v>5160-07-01</v>
      </c>
      <c r="C505" s="6" t="str">
        <f>CLEAN("5160-07-71")</f>
        <v>5160-07-71</v>
      </c>
      <c r="D505" s="6">
        <v>2022</v>
      </c>
      <c r="E505" s="6" t="str">
        <f>CLEAN("STH-035")</f>
        <v>STH-035</v>
      </c>
      <c r="F505" s="4">
        <v>44544</v>
      </c>
      <c r="G505" s="3" t="str">
        <f>CLEAN("FERRYVILLE - GENOA")</f>
        <v>FERRYVILLE - GENOA</v>
      </c>
      <c r="H505" s="3" t="str">
        <f>CLEAN("OLD HWY 35 TO STH 56")</f>
        <v>OLD HWY 35 TO STH 56</v>
      </c>
      <c r="I505" s="3" t="str">
        <f>CLEAN("CONST/ COLD IN PLACE RECYCLE")</f>
        <v>CONST/ COLD IN PLACE RECYCLE</v>
      </c>
      <c r="J505" s="3">
        <v>11.805999999999999</v>
      </c>
    </row>
    <row r="506" spans="1:10" x14ac:dyDescent="0.25">
      <c r="A506" s="3" t="str">
        <f>CLEAN("VERNON")</f>
        <v>VERNON</v>
      </c>
      <c r="B506" s="6" t="str">
        <f>CLEAN("1646-08-02")</f>
        <v>1646-08-02</v>
      </c>
      <c r="C506" s="6" t="str">
        <f>CLEAN("1646-08-72")</f>
        <v>1646-08-72</v>
      </c>
      <c r="D506" s="6">
        <v>2022</v>
      </c>
      <c r="E506" s="6" t="str">
        <f>CLEAN("USH-014")</f>
        <v>USH-014</v>
      </c>
      <c r="F506" s="4">
        <v>44572</v>
      </c>
      <c r="G506" s="3" t="str">
        <f>CLEAN("C WESTBY  N MAIN STREET")</f>
        <v>C WESTBY  N MAIN STREET</v>
      </c>
      <c r="H506" s="3" t="str">
        <f>CLEAN("HIGH ECHO LANE TO LOCUST STREET")</f>
        <v>HIGH ECHO LANE TO LOCUST STREET</v>
      </c>
      <c r="I506" s="3" t="str">
        <f>CLEAN("CONST/RECONSTRUCT ROADWAY")</f>
        <v>CONST/RECONSTRUCT ROADWAY</v>
      </c>
      <c r="J506" s="3">
        <v>1.44</v>
      </c>
    </row>
    <row r="507" spans="1:10" x14ac:dyDescent="0.25">
      <c r="A507" s="3" t="str">
        <f>CLEAN("VERNON")</f>
        <v>VERNON</v>
      </c>
      <c r="B507" s="6" t="str">
        <f>CLEAN("1646-08-02")</f>
        <v>1646-08-02</v>
      </c>
      <c r="C507" s="6" t="str">
        <f>CLEAN("1646-08-82")</f>
        <v>1646-08-82</v>
      </c>
      <c r="D507" s="6">
        <v>2022</v>
      </c>
      <c r="E507" s="6" t="str">
        <f>CLEAN("USH-014")</f>
        <v>USH-014</v>
      </c>
      <c r="F507" s="4">
        <v>44572</v>
      </c>
      <c r="G507" s="3" t="str">
        <f>CLEAN("C WESTBY  N MAIN STREET")</f>
        <v>C WESTBY  N MAIN STREET</v>
      </c>
      <c r="H507" s="3" t="str">
        <f>CLEAN("HIGH ECHO LANE TO LOCUST STREET")</f>
        <v>HIGH ECHO LANE TO LOCUST STREET</v>
      </c>
      <c r="I507" s="3" t="str">
        <f>CLEAN("CONST/SANITARY SEWER &amp; WATER MAIN")</f>
        <v>CONST/SANITARY SEWER &amp; WATER MAIN</v>
      </c>
      <c r="J507" s="3">
        <v>1.44</v>
      </c>
    </row>
    <row r="508" spans="1:10" x14ac:dyDescent="0.25">
      <c r="A508" s="3" t="str">
        <f>CLEAN("VERNON")</f>
        <v>VERNON</v>
      </c>
      <c r="B508" s="6" t="str">
        <f>CLEAN("5150-02-00")</f>
        <v>5150-02-00</v>
      </c>
      <c r="C508" s="6" t="str">
        <f>CLEAN("5150-02-70")</f>
        <v>5150-02-70</v>
      </c>
      <c r="D508" s="6">
        <v>2023</v>
      </c>
      <c r="E508" s="6" t="str">
        <f>CLEAN("STH-082")</f>
        <v>STH-082</v>
      </c>
      <c r="F508" s="4">
        <v>44873</v>
      </c>
      <c r="G508" s="3" t="str">
        <f>CLEAN("DESOTO - VIROQUA")</f>
        <v>DESOTO - VIROQUA</v>
      </c>
      <c r="H508" s="3" t="str">
        <f>CLEAN("STH 35 TO STH 27")</f>
        <v>STH 35 TO STH 27</v>
      </c>
      <c r="I508" s="3" t="str">
        <f>CLEAN("CONSTRUCTION/ MILL AND OVERLAY")</f>
        <v>CONSTRUCTION/ MILL AND OVERLAY</v>
      </c>
      <c r="J508" s="3">
        <v>14.86</v>
      </c>
    </row>
    <row r="509" spans="1:10" x14ac:dyDescent="0.25">
      <c r="A509" s="3" t="str">
        <f>CLEAN("VERNON")</f>
        <v>VERNON</v>
      </c>
      <c r="B509" s="6" t="str">
        <f>CLEAN("5710-00-01")</f>
        <v>5710-00-01</v>
      </c>
      <c r="C509" s="6" t="str">
        <f>CLEAN("5710-00-71")</f>
        <v>5710-00-71</v>
      </c>
      <c r="D509" s="6">
        <v>2023</v>
      </c>
      <c r="E509" s="6" t="str">
        <f>CLEAN("STH-082")</f>
        <v>STH-082</v>
      </c>
      <c r="F509" s="4">
        <v>44873</v>
      </c>
      <c r="G509" s="3" t="str">
        <f>CLEAN("VIROQUA - LAFARGE")</f>
        <v>VIROQUA - LAFARGE</v>
      </c>
      <c r="H509" s="3" t="str">
        <f>CLEAN("STH 56 TO KICKAPOO RIVER")</f>
        <v>STH 56 TO KICKAPOO RIVER</v>
      </c>
      <c r="I509" s="3" t="str">
        <f>CLEAN("CONST/ RESURFACING MILL &amp; O'LAY")</f>
        <v>CONST/ RESURFACING MILL &amp; O'LAY</v>
      </c>
      <c r="J509" s="3">
        <v>11.055999999999999</v>
      </c>
    </row>
    <row r="510" spans="1:10" x14ac:dyDescent="0.25">
      <c r="A510" s="3" t="str">
        <f>CLEAN("VERNON")</f>
        <v>VERNON</v>
      </c>
      <c r="B510" s="6" t="str">
        <f>CLEAN("5730-00-00")</f>
        <v>5730-00-00</v>
      </c>
      <c r="C510" s="6" t="str">
        <f>CLEAN("5730-00-80")</f>
        <v>5730-00-80</v>
      </c>
      <c r="D510" s="6">
        <v>2023</v>
      </c>
      <c r="E510" s="6" t="str">
        <f>CLEAN("STH-056")</f>
        <v>STH-056</v>
      </c>
      <c r="F510" s="4">
        <v>44873</v>
      </c>
      <c r="G510" s="3" t="str">
        <f>CLEAN("VIROQUA - RICHLAND CENTER")</f>
        <v>VIROQUA - RICHLAND CENTER</v>
      </c>
      <c r="H510" s="3" t="str">
        <f>CLEAN("BISHOP BRANCH BRIDGE B-62-258")</f>
        <v>BISHOP BRANCH BRIDGE B-62-258</v>
      </c>
      <c r="I510" s="3" t="str">
        <f>CLEAN("CONST/ BRIDGE REPLACEMENT")</f>
        <v>CONST/ BRIDGE REPLACEMENT</v>
      </c>
      <c r="J510" s="3">
        <v>0.214</v>
      </c>
    </row>
    <row r="511" spans="1:10" x14ac:dyDescent="0.25">
      <c r="A511" s="3" t="str">
        <f>CLEAN("VERNON")</f>
        <v>VERNON</v>
      </c>
      <c r="B511" s="6" t="str">
        <f>CLEAN("5730-00-01")</f>
        <v>5730-00-01</v>
      </c>
      <c r="C511" s="6" t="str">
        <f>CLEAN("5730-00-71")</f>
        <v>5730-00-71</v>
      </c>
      <c r="D511" s="6">
        <v>2023</v>
      </c>
      <c r="E511" s="6" t="str">
        <f>CLEAN("STH-056")</f>
        <v>STH-056</v>
      </c>
      <c r="F511" s="4">
        <v>44873</v>
      </c>
      <c r="G511" s="3" t="str">
        <f>CLEAN("VIROQUA - RICHLAND CENTER")</f>
        <v>VIROQUA - RICHLAND CENTER</v>
      </c>
      <c r="H511" s="3" t="str">
        <f>CLEAN("MAHONEY RD TO S JUNCTION STH 131")</f>
        <v>MAHONEY RD TO S JUNCTION STH 131</v>
      </c>
      <c r="I511" s="3" t="str">
        <f>CLEAN("CONST/ MILL AND OVERLAY")</f>
        <v>CONST/ MILL AND OVERLAY</v>
      </c>
      <c r="J511" s="3">
        <v>11.577999999999999</v>
      </c>
    </row>
    <row r="512" spans="1:10" x14ac:dyDescent="0.25">
      <c r="A512" s="3" t="str">
        <f>CLEAN("VERNON")</f>
        <v>VERNON</v>
      </c>
      <c r="B512" s="6" t="str">
        <f>CLEAN("1640-04-02")</f>
        <v>1640-04-02</v>
      </c>
      <c r="C512" s="6" t="str">
        <f>CLEAN("1640-04-72")</f>
        <v>1640-04-72</v>
      </c>
      <c r="D512" s="6">
        <v>2023</v>
      </c>
      <c r="E512" s="6" t="str">
        <f>CLEAN("USH-014")</f>
        <v>USH-014</v>
      </c>
      <c r="F512" s="4">
        <v>44908</v>
      </c>
      <c r="G512" s="3" t="str">
        <f>CLEAN("WESTBY - READSTOWN")</f>
        <v>WESTBY - READSTOWN</v>
      </c>
      <c r="H512" s="3" t="str">
        <f>CLEAN("EAST JUNCTION STH 27")</f>
        <v>EAST JUNCTION STH 27</v>
      </c>
      <c r="I512" s="3" t="str">
        <f>CLEAN("CONST/INTERSECTION IMPROVEMENT-RAB")</f>
        <v>CONST/INTERSECTION IMPROVEMENT-RAB</v>
      </c>
      <c r="J512" s="3">
        <v>0.68899999999999995</v>
      </c>
    </row>
    <row r="513" spans="1:10" x14ac:dyDescent="0.25">
      <c r="A513" s="3" t="str">
        <f>CLEAN("VERNON")</f>
        <v>VERNON</v>
      </c>
      <c r="B513" s="6" t="str">
        <f>CLEAN("5040-03-00")</f>
        <v>5040-03-00</v>
      </c>
      <c r="C513" s="6" t="str">
        <f>CLEAN("5040-03-70")</f>
        <v>5040-03-70</v>
      </c>
      <c r="D513" s="6">
        <v>2023</v>
      </c>
      <c r="E513" s="6" t="str">
        <f>CLEAN("STH-080")</f>
        <v>STH-080</v>
      </c>
      <c r="F513" s="4">
        <v>44908</v>
      </c>
      <c r="G513" s="3" t="str">
        <f>CLEAN("RICHLAND CENTER - HILLSBORO")</f>
        <v>RICHLAND CENTER - HILLSBORO</v>
      </c>
      <c r="H513" s="3" t="str">
        <f>CLEAN("CTH C TO S FORK BARABOO R BRIDGE")</f>
        <v>CTH C TO S FORK BARABOO R BRIDGE</v>
      </c>
      <c r="I513" s="3" t="str">
        <f>CLEAN("CONST/MILL &amp; O'LAY  BRG CONC O'LAYS")</f>
        <v>CONST/MILL &amp; O'LAY  BRG CONC O'LAYS</v>
      </c>
      <c r="J513" s="3">
        <v>11.79</v>
      </c>
    </row>
    <row r="514" spans="1:10" x14ac:dyDescent="0.25">
      <c r="A514" s="3" t="str">
        <f>CLEAN("VERNON")</f>
        <v>VERNON</v>
      </c>
      <c r="B514" s="6" t="str">
        <f>CLEAN("5540-02-00")</f>
        <v>5540-02-00</v>
      </c>
      <c r="C514" s="6" t="str">
        <f>CLEAN("5540-02-70")</f>
        <v>5540-02-70</v>
      </c>
      <c r="D514" s="6">
        <v>2023</v>
      </c>
      <c r="E514" s="6" t="str">
        <f>CLEAN("STH-027")</f>
        <v>STH-027</v>
      </c>
      <c r="F514" s="4">
        <v>44908</v>
      </c>
      <c r="G514" s="3" t="str">
        <f>CLEAN("MT STERLING - VIROQUA")</f>
        <v>MT STERLING - VIROQUA</v>
      </c>
      <c r="H514" s="3" t="str">
        <f>CLEAN(".49 MI S CTH C TO N BROOKVILLE RD")</f>
        <v>.49 MI S CTH C TO N BROOKVILLE RD</v>
      </c>
      <c r="I514" s="3" t="str">
        <f>CLEAN("CONST/ PAVEMENT REPLACEMENT")</f>
        <v>CONST/ PAVEMENT REPLACEMENT</v>
      </c>
      <c r="J514" s="3">
        <v>13.02</v>
      </c>
    </row>
    <row r="515" spans="1:10" x14ac:dyDescent="0.25">
      <c r="A515" s="3" t="str">
        <f>CLEAN("VERNON")</f>
        <v>VERNON</v>
      </c>
      <c r="B515" s="6" t="str">
        <f>CLEAN("5100-01-30")</f>
        <v>5100-01-30</v>
      </c>
      <c r="C515" s="6" t="str">
        <f>CLEAN("5100-01-60")</f>
        <v>5100-01-60</v>
      </c>
      <c r="D515" s="6">
        <v>2025</v>
      </c>
      <c r="E515" s="6" t="str">
        <f>CLEAN("STH-033")</f>
        <v>STH-033</v>
      </c>
      <c r="F515" s="4">
        <v>45608</v>
      </c>
      <c r="G515" s="3" t="str">
        <f>CLEAN("CASHTON - HILLSBORO")</f>
        <v>CASHTON - HILLSBORO</v>
      </c>
      <c r="H515" s="3" t="str">
        <f>CLEAN("KICKAPOO R BR TO C HILLSBORO LIMIT")</f>
        <v>KICKAPOO R BR TO C HILLSBORO LIMIT</v>
      </c>
      <c r="I515" s="3" t="str">
        <f>CLEAN("CONST/ MILL &amp; OVERLAY")</f>
        <v>CONST/ MILL &amp; OVERLAY</v>
      </c>
      <c r="J515" s="3">
        <v>15.019</v>
      </c>
    </row>
    <row r="516" spans="1:10" x14ac:dyDescent="0.25">
      <c r="A516" s="3" t="str">
        <f>CLEAN("VERNON")</f>
        <v>VERNON</v>
      </c>
      <c r="B516" s="6" t="str">
        <f>CLEAN("5710-00-02")</f>
        <v>5710-00-02</v>
      </c>
      <c r="C516" s="6" t="str">
        <f>CLEAN("5710-00-72")</f>
        <v>5710-00-72</v>
      </c>
      <c r="D516" s="6">
        <v>2025</v>
      </c>
      <c r="E516" s="6" t="str">
        <f>CLEAN("STH-082")</f>
        <v>STH-082</v>
      </c>
      <c r="F516" s="4">
        <v>45608</v>
      </c>
      <c r="G516" s="3" t="str">
        <f>CLEAN("LAFARGE - HILLSBORO")</f>
        <v>LAFARGE - HILLSBORO</v>
      </c>
      <c r="H516" s="3" t="str">
        <f>CLEAN("KICKAPOO RIVER TO STH 33")</f>
        <v>KICKAPOO RIVER TO STH 33</v>
      </c>
      <c r="I516" s="3" t="str">
        <f>CLEAN("CONS/MILL &amp; OVERLAY B-62-51 OVERLAY")</f>
        <v>CONS/MILL &amp; OVERLAY B-62-51 OVERLAY</v>
      </c>
      <c r="J516" s="3">
        <v>16</v>
      </c>
    </row>
    <row r="517" spans="1:10" x14ac:dyDescent="0.25">
      <c r="A517" s="3" t="str">
        <f>CLEAN("VERNON")</f>
        <v>VERNON</v>
      </c>
      <c r="B517" s="6" t="str">
        <f>CLEAN("5865-02-34")</f>
        <v>5865-02-34</v>
      </c>
      <c r="C517" s="6" t="str">
        <f>CLEAN("5865-02-64")</f>
        <v>5865-02-64</v>
      </c>
      <c r="D517" s="6">
        <v>2026</v>
      </c>
      <c r="E517" s="6" t="str">
        <f>CLEAN("STH-162")</f>
        <v>STH-162</v>
      </c>
      <c r="F517" s="4">
        <v>45972</v>
      </c>
      <c r="G517" s="3" t="str">
        <f>CLEAN("STODDARD - COON VALLEY")</f>
        <v>STODDARD - COON VALLEY</v>
      </c>
      <c r="H517" s="3" t="str">
        <f>CLEAN("V STODDARD E LIMIT TO DEPOT STREET")</f>
        <v>V STODDARD E LIMIT TO DEPOT STREET</v>
      </c>
      <c r="I517" s="3" t="str">
        <f>CLEAN("CONST/ MILL AND OVERLAY")</f>
        <v>CONST/ MILL AND OVERLAY</v>
      </c>
      <c r="J517" s="3">
        <v>6.91</v>
      </c>
    </row>
    <row r="518" spans="1:10" x14ac:dyDescent="0.25">
      <c r="A518" s="3" t="str">
        <f>CLEAN("VERNON")</f>
        <v>VERNON</v>
      </c>
      <c r="B518" s="6" t="str">
        <f>CLEAN("5040-03-01")</f>
        <v>5040-03-01</v>
      </c>
      <c r="C518" s="6" t="str">
        <f>CLEAN("5040-03-71")</f>
        <v>5040-03-71</v>
      </c>
      <c r="D518" s="6">
        <v>2026</v>
      </c>
      <c r="E518" s="6" t="str">
        <f>CLEAN("STH-080")</f>
        <v>STH-080</v>
      </c>
      <c r="F518" s="4">
        <v>46000</v>
      </c>
      <c r="G518" s="3" t="str">
        <f>CLEAN("HILLSBORO - NEW LISBON")</f>
        <v>HILLSBORO - NEW LISBON</v>
      </c>
      <c r="H518" s="3" t="str">
        <f>CLEAN("S FORK BARABOO R BRIDGE TO STH 33")</f>
        <v>S FORK BARABOO R BRIDGE TO STH 33</v>
      </c>
      <c r="I518" s="3" t="str">
        <f>CLEAN("CONST/ PAVE REPLACE")</f>
        <v>CONST/ PAVE REPLACE</v>
      </c>
      <c r="J518" s="3">
        <v>0.59399999999999997</v>
      </c>
    </row>
    <row r="519" spans="1:10" x14ac:dyDescent="0.25">
      <c r="A519" s="3" t="str">
        <f>CLEAN("VERNON")</f>
        <v>VERNON</v>
      </c>
      <c r="B519" s="6" t="str">
        <f>CLEAN("5100-01-03")</f>
        <v>5100-01-03</v>
      </c>
      <c r="C519" s="6" t="str">
        <f>CLEAN("5100-01-73")</f>
        <v>5100-01-73</v>
      </c>
      <c r="D519" s="6">
        <v>2026</v>
      </c>
      <c r="E519" s="6" t="str">
        <f>CLEAN("STH-033")</f>
        <v>STH-033</v>
      </c>
      <c r="F519" s="4">
        <v>46000</v>
      </c>
      <c r="G519" s="3" t="str">
        <f>CLEAN("HILLSBORO - REEDSBURG")</f>
        <v>HILLSBORO - REEDSBURG</v>
      </c>
      <c r="H519" s="3" t="str">
        <f>CLEAN("C HILLSBORO W LIMIT TO CTH HH")</f>
        <v>C HILLSBORO W LIMIT TO CTH HH</v>
      </c>
      <c r="I519" s="3" t="str">
        <f>CLEAN("CONST/ PAVE REPLACE")</f>
        <v>CONST/ PAVE REPLACE</v>
      </c>
      <c r="J519" s="3">
        <v>1.04</v>
      </c>
    </row>
  </sheetData>
  <sortState ref="A498:J519">
    <sortCondition ref="F498"/>
  </sortState>
  <pageMargins left="0.7" right="0.7" top="0.75" bottom="0.75" header="0.3" footer="0.3"/>
  <pageSetup scale="60" fitToHeight="0" orientation="landscape" r:id="rId1"/>
  <headerFooter>
    <oddHeader>&amp;CSouthwest Region 6-Year State Program Snapshot
January 7, 2020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B1F5C-94D5-45E8-BF5D-AB60002C38BA}"/>
</file>

<file path=customXml/itemProps2.xml><?xml version="1.0" encoding="utf-8"?>
<ds:datastoreItem xmlns:ds="http://schemas.openxmlformats.org/officeDocument/2006/customXml" ds:itemID="{093A9758-6AB4-4B45-B5EA-615F9A5581E0}"/>
</file>

<file path=customXml/itemProps3.xml><?xml version="1.0" encoding="utf-8"?>
<ds:datastoreItem xmlns:ds="http://schemas.openxmlformats.org/officeDocument/2006/customXml" ds:itemID="{6065A30A-B063-45BB-BB7C-EB4A4709D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1.7.20 DTK-1 State report SORTE</vt:lpstr>
      <vt:lpstr>'1.7.20 DTK-1 State report SORTE'!Print_Area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KOZOL, DEBORAH T</dc:creator>
  <cp:lastModifiedBy>KOZOL, DEBORAH T</cp:lastModifiedBy>
  <cp:lastPrinted>2020-01-07T19:01:13Z</cp:lastPrinted>
  <dcterms:created xsi:type="dcterms:W3CDTF">2020-01-07T14:55:53Z</dcterms:created>
  <dcterms:modified xsi:type="dcterms:W3CDTF">2020-01-07T19:01:42Z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