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TC2P\Box\Utility-Coordination\Utility-WebFiles\Internet-wisconsindot.gov\Resources\handbks-page\"/>
    </mc:Choice>
  </mc:AlternateContent>
  <xr:revisionPtr revIDLastSave="0" documentId="8_{D7048037-F7BE-4E05-87FD-5E922D1C46DF}" xr6:coauthVersionLast="31" xr6:coauthVersionMax="31" xr10:uidLastSave="{00000000-0000-0000-0000-000000000000}"/>
  <bookViews>
    <workbookView xWindow="0" yWindow="450" windowWidth="19200" windowHeight="8160" xr2:uid="{00000000-000D-0000-FFFF-FFFF00000000}"/>
  </bookViews>
  <sheets>
    <sheet name="report" sheetId="1" r:id="rId1"/>
  </sheets>
  <definedNames>
    <definedName name="_xlnm.Print_Titles" localSheetId="0">report!$1:$1</definedName>
  </definedNames>
  <calcPr calcId="179017"/>
</workbook>
</file>

<file path=xl/calcChain.xml><?xml version="1.0" encoding="utf-8"?>
<calcChain xmlns="http://schemas.openxmlformats.org/spreadsheetml/2006/main">
  <c r="C16" i="1" l="1"/>
  <c r="C31" i="1"/>
  <c r="C20" i="1"/>
  <c r="C13" i="1"/>
  <c r="C12" i="1"/>
  <c r="C11" i="1"/>
  <c r="C36" i="1"/>
  <c r="C5" i="1"/>
  <c r="C57" i="1"/>
  <c r="C56" i="1"/>
  <c r="C4" i="1"/>
  <c r="C44" i="1"/>
  <c r="C43" i="1"/>
  <c r="C24" i="1"/>
  <c r="C50" i="1"/>
  <c r="C35" i="1"/>
  <c r="C40" i="1"/>
  <c r="C59" i="1"/>
  <c r="C10" i="1"/>
  <c r="C47" i="1"/>
  <c r="C52" i="1"/>
  <c r="C49" i="1"/>
  <c r="C39" i="1"/>
  <c r="C32" i="1"/>
  <c r="C38" i="1"/>
  <c r="C48" i="1"/>
  <c r="C23" i="1"/>
  <c r="C17" i="1"/>
  <c r="C51" i="1"/>
  <c r="C22" i="1"/>
  <c r="C30" i="1"/>
  <c r="C3" i="1"/>
  <c r="C19" i="1"/>
  <c r="C29" i="1"/>
  <c r="C18" i="1"/>
  <c r="C33" i="1"/>
  <c r="C34" i="1"/>
  <c r="C27" i="1"/>
  <c r="C45" i="1"/>
  <c r="C9" i="1"/>
  <c r="C55" i="1"/>
  <c r="C15" i="1"/>
  <c r="C14" i="1"/>
  <c r="C28" i="1"/>
  <c r="C2" i="1"/>
  <c r="C54" i="1"/>
  <c r="C25" i="1"/>
  <c r="C53" i="1"/>
  <c r="C42" i="1"/>
  <c r="C41" i="1"/>
  <c r="C46" i="1"/>
  <c r="C21" i="1"/>
  <c r="C58" i="1"/>
  <c r="C8" i="1"/>
  <c r="C7" i="1"/>
  <c r="C6" i="1"/>
  <c r="C26" i="1"/>
  <c r="C37" i="1"/>
  <c r="J1" i="1" l="1"/>
  <c r="K1" i="1"/>
  <c r="L1" i="1"/>
  <c r="E37" i="1"/>
  <c r="B37" i="1"/>
  <c r="F37" i="1"/>
  <c r="A37" i="1"/>
  <c r="G37" i="1"/>
  <c r="H37" i="1"/>
  <c r="I37" i="1"/>
  <c r="J37" i="1"/>
  <c r="K37" i="1"/>
  <c r="L37" i="1"/>
  <c r="E26" i="1"/>
  <c r="B26" i="1"/>
  <c r="F26" i="1"/>
  <c r="A26" i="1"/>
  <c r="G26" i="1"/>
  <c r="H26" i="1"/>
  <c r="I26" i="1"/>
  <c r="J26" i="1"/>
  <c r="K26" i="1"/>
  <c r="L26" i="1"/>
  <c r="E6" i="1"/>
  <c r="B6" i="1"/>
  <c r="F6" i="1"/>
  <c r="A6" i="1"/>
  <c r="G6" i="1"/>
  <c r="H6" i="1"/>
  <c r="I6" i="1"/>
  <c r="J6" i="1"/>
  <c r="K6" i="1"/>
  <c r="L6" i="1"/>
  <c r="E7" i="1"/>
  <c r="B7" i="1"/>
  <c r="F7" i="1"/>
  <c r="A7" i="1"/>
  <c r="G7" i="1"/>
  <c r="H7" i="1"/>
  <c r="I7" i="1"/>
  <c r="J7" i="1"/>
  <c r="K7" i="1"/>
  <c r="L7" i="1"/>
  <c r="E8" i="1"/>
  <c r="B8" i="1"/>
  <c r="F8" i="1"/>
  <c r="A8" i="1"/>
  <c r="G8" i="1"/>
  <c r="H8" i="1"/>
  <c r="I8" i="1"/>
  <c r="J8" i="1"/>
  <c r="K8" i="1"/>
  <c r="L8" i="1"/>
  <c r="E58" i="1"/>
  <c r="B58" i="1"/>
  <c r="F58" i="1"/>
  <c r="A58" i="1"/>
  <c r="G58" i="1"/>
  <c r="H58" i="1"/>
  <c r="I58" i="1"/>
  <c r="J58" i="1"/>
  <c r="K58" i="1"/>
  <c r="L58" i="1"/>
  <c r="E21" i="1"/>
  <c r="B21" i="1"/>
  <c r="F21" i="1"/>
  <c r="A21" i="1"/>
  <c r="G21" i="1"/>
  <c r="H21" i="1"/>
  <c r="I21" i="1"/>
  <c r="J21" i="1"/>
  <c r="K21" i="1"/>
  <c r="L21" i="1"/>
  <c r="E46" i="1"/>
  <c r="B46" i="1"/>
  <c r="F46" i="1"/>
  <c r="A46" i="1"/>
  <c r="G46" i="1"/>
  <c r="H46" i="1"/>
  <c r="I46" i="1"/>
  <c r="J46" i="1"/>
  <c r="K46" i="1"/>
  <c r="L46" i="1"/>
  <c r="E41" i="1"/>
  <c r="B41" i="1"/>
  <c r="F41" i="1"/>
  <c r="A41" i="1"/>
  <c r="G41" i="1"/>
  <c r="H41" i="1"/>
  <c r="I41" i="1"/>
  <c r="J41" i="1"/>
  <c r="K41" i="1"/>
  <c r="L41" i="1"/>
  <c r="E42" i="1"/>
  <c r="B42" i="1"/>
  <c r="F42" i="1"/>
  <c r="A42" i="1"/>
  <c r="G42" i="1"/>
  <c r="H42" i="1"/>
  <c r="I42" i="1"/>
  <c r="J42" i="1"/>
  <c r="K42" i="1"/>
  <c r="L42" i="1"/>
  <c r="E53" i="1"/>
  <c r="B53" i="1"/>
  <c r="F53" i="1"/>
  <c r="A53" i="1"/>
  <c r="G53" i="1"/>
  <c r="H53" i="1"/>
  <c r="I53" i="1"/>
  <c r="J53" i="1"/>
  <c r="K53" i="1"/>
  <c r="L53" i="1"/>
  <c r="E25" i="1"/>
  <c r="B25" i="1"/>
  <c r="F25" i="1"/>
  <c r="A25" i="1"/>
  <c r="G25" i="1"/>
  <c r="H25" i="1"/>
  <c r="I25" i="1"/>
  <c r="J25" i="1"/>
  <c r="K25" i="1"/>
  <c r="L25" i="1"/>
  <c r="E54" i="1"/>
  <c r="B54" i="1"/>
  <c r="F54" i="1"/>
  <c r="A54" i="1"/>
  <c r="G54" i="1"/>
  <c r="H54" i="1"/>
  <c r="I54" i="1"/>
  <c r="J54" i="1"/>
  <c r="K54" i="1"/>
  <c r="L54" i="1"/>
  <c r="E2" i="1"/>
  <c r="B2" i="1"/>
  <c r="F2" i="1"/>
  <c r="A2" i="1"/>
  <c r="G2" i="1"/>
  <c r="H2" i="1"/>
  <c r="I2" i="1"/>
  <c r="J2" i="1"/>
  <c r="K2" i="1"/>
  <c r="L2" i="1"/>
  <c r="E28" i="1"/>
  <c r="B28" i="1"/>
  <c r="F28" i="1"/>
  <c r="A28" i="1"/>
  <c r="G28" i="1"/>
  <c r="H28" i="1"/>
  <c r="I28" i="1"/>
  <c r="J28" i="1"/>
  <c r="K28" i="1"/>
  <c r="L28" i="1"/>
  <c r="E14" i="1"/>
  <c r="B14" i="1"/>
  <c r="F14" i="1"/>
  <c r="A14" i="1"/>
  <c r="G14" i="1"/>
  <c r="H14" i="1"/>
  <c r="I14" i="1"/>
  <c r="J14" i="1"/>
  <c r="K14" i="1"/>
  <c r="L14" i="1"/>
  <c r="E15" i="1"/>
  <c r="B15" i="1"/>
  <c r="F15" i="1"/>
  <c r="A15" i="1"/>
  <c r="G15" i="1"/>
  <c r="H15" i="1"/>
  <c r="I15" i="1"/>
  <c r="J15" i="1"/>
  <c r="K15" i="1"/>
  <c r="L15" i="1"/>
  <c r="E55" i="1"/>
  <c r="B55" i="1"/>
  <c r="F55" i="1"/>
  <c r="A55" i="1"/>
  <c r="G55" i="1"/>
  <c r="H55" i="1"/>
  <c r="I55" i="1"/>
  <c r="J55" i="1"/>
  <c r="K55" i="1"/>
  <c r="L55" i="1"/>
  <c r="E9" i="1"/>
  <c r="B9" i="1"/>
  <c r="F9" i="1"/>
  <c r="A9" i="1"/>
  <c r="G9" i="1"/>
  <c r="H9" i="1"/>
  <c r="I9" i="1"/>
  <c r="J9" i="1"/>
  <c r="K9" i="1"/>
  <c r="L9" i="1"/>
  <c r="E45" i="1"/>
  <c r="B45" i="1"/>
  <c r="F45" i="1"/>
  <c r="A45" i="1"/>
  <c r="G45" i="1"/>
  <c r="H45" i="1"/>
  <c r="I45" i="1"/>
  <c r="J45" i="1"/>
  <c r="K45" i="1"/>
  <c r="L45" i="1"/>
  <c r="E27" i="1"/>
  <c r="B27" i="1"/>
  <c r="F27" i="1"/>
  <c r="A27" i="1"/>
  <c r="G27" i="1"/>
  <c r="H27" i="1"/>
  <c r="I27" i="1"/>
  <c r="J27" i="1"/>
  <c r="K27" i="1"/>
  <c r="L27" i="1"/>
  <c r="E34" i="1"/>
  <c r="B34" i="1"/>
  <c r="F34" i="1"/>
  <c r="A34" i="1"/>
  <c r="G34" i="1"/>
  <c r="H34" i="1"/>
  <c r="I34" i="1"/>
  <c r="J34" i="1"/>
  <c r="K34" i="1"/>
  <c r="L34" i="1"/>
  <c r="E33" i="1"/>
  <c r="B33" i="1"/>
  <c r="F33" i="1"/>
  <c r="A33" i="1"/>
  <c r="G33" i="1"/>
  <c r="H33" i="1"/>
  <c r="I33" i="1"/>
  <c r="J33" i="1"/>
  <c r="K33" i="1"/>
  <c r="L33" i="1"/>
  <c r="E18" i="1"/>
  <c r="B18" i="1"/>
  <c r="F18" i="1"/>
  <c r="A18" i="1"/>
  <c r="G18" i="1"/>
  <c r="H18" i="1"/>
  <c r="I18" i="1"/>
  <c r="J18" i="1"/>
  <c r="K18" i="1"/>
  <c r="L18" i="1"/>
  <c r="E29" i="1"/>
  <c r="B29" i="1"/>
  <c r="F29" i="1"/>
  <c r="A29" i="1"/>
  <c r="G29" i="1"/>
  <c r="H29" i="1"/>
  <c r="I29" i="1"/>
  <c r="J29" i="1"/>
  <c r="K29" i="1"/>
  <c r="L29" i="1"/>
  <c r="E19" i="1"/>
  <c r="B19" i="1"/>
  <c r="F19" i="1"/>
  <c r="A19" i="1"/>
  <c r="G19" i="1"/>
  <c r="H19" i="1"/>
  <c r="I19" i="1"/>
  <c r="J19" i="1"/>
  <c r="K19" i="1"/>
  <c r="L19" i="1"/>
  <c r="E3" i="1"/>
  <c r="B3" i="1"/>
  <c r="F3" i="1"/>
  <c r="A3" i="1"/>
  <c r="G3" i="1"/>
  <c r="H3" i="1"/>
  <c r="I3" i="1"/>
  <c r="J3" i="1"/>
  <c r="K3" i="1"/>
  <c r="L3" i="1"/>
  <c r="E30" i="1"/>
  <c r="B30" i="1"/>
  <c r="F30" i="1"/>
  <c r="A30" i="1"/>
  <c r="G30" i="1"/>
  <c r="H30" i="1"/>
  <c r="I30" i="1"/>
  <c r="J30" i="1"/>
  <c r="K30" i="1"/>
  <c r="L30" i="1"/>
  <c r="E22" i="1"/>
  <c r="B22" i="1"/>
  <c r="F22" i="1"/>
  <c r="A22" i="1"/>
  <c r="G22" i="1"/>
  <c r="H22" i="1"/>
  <c r="I22" i="1"/>
  <c r="J22" i="1"/>
  <c r="K22" i="1"/>
  <c r="L22" i="1"/>
  <c r="E51" i="1"/>
  <c r="B51" i="1"/>
  <c r="F51" i="1"/>
  <c r="A51" i="1"/>
  <c r="G51" i="1"/>
  <c r="H51" i="1"/>
  <c r="I51" i="1"/>
  <c r="J51" i="1"/>
  <c r="K51" i="1"/>
  <c r="L51" i="1"/>
  <c r="E17" i="1"/>
  <c r="B17" i="1"/>
  <c r="F17" i="1"/>
  <c r="A17" i="1"/>
  <c r="G17" i="1"/>
  <c r="H17" i="1"/>
  <c r="I17" i="1"/>
  <c r="J17" i="1"/>
  <c r="K17" i="1"/>
  <c r="L17" i="1"/>
  <c r="E23" i="1"/>
  <c r="B23" i="1"/>
  <c r="F23" i="1"/>
  <c r="A23" i="1"/>
  <c r="G23" i="1"/>
  <c r="H23" i="1"/>
  <c r="I23" i="1"/>
  <c r="J23" i="1"/>
  <c r="K23" i="1"/>
  <c r="L23" i="1"/>
  <c r="E48" i="1"/>
  <c r="B48" i="1"/>
  <c r="F48" i="1"/>
  <c r="A48" i="1"/>
  <c r="G48" i="1"/>
  <c r="H48" i="1"/>
  <c r="I48" i="1"/>
  <c r="J48" i="1"/>
  <c r="K48" i="1"/>
  <c r="L48" i="1"/>
  <c r="E38" i="1"/>
  <c r="B38" i="1"/>
  <c r="F38" i="1"/>
  <c r="A38" i="1"/>
  <c r="G38" i="1"/>
  <c r="H38" i="1"/>
  <c r="I38" i="1"/>
  <c r="J38" i="1"/>
  <c r="K38" i="1"/>
  <c r="L38" i="1"/>
  <c r="E32" i="1"/>
  <c r="B32" i="1"/>
  <c r="F32" i="1"/>
  <c r="A32" i="1"/>
  <c r="G32" i="1"/>
  <c r="H32" i="1"/>
  <c r="I32" i="1"/>
  <c r="J32" i="1"/>
  <c r="K32" i="1"/>
  <c r="L32" i="1"/>
  <c r="E39" i="1"/>
  <c r="B39" i="1"/>
  <c r="F39" i="1"/>
  <c r="A39" i="1"/>
  <c r="G39" i="1"/>
  <c r="H39" i="1"/>
  <c r="I39" i="1"/>
  <c r="J39" i="1"/>
  <c r="K39" i="1"/>
  <c r="L39" i="1"/>
  <c r="E49" i="1"/>
  <c r="B49" i="1"/>
  <c r="F49" i="1"/>
  <c r="A49" i="1"/>
  <c r="G49" i="1"/>
  <c r="H49" i="1"/>
  <c r="I49" i="1"/>
  <c r="J49" i="1"/>
  <c r="K49" i="1"/>
  <c r="L49" i="1"/>
  <c r="E52" i="1"/>
  <c r="B52" i="1"/>
  <c r="F52" i="1"/>
  <c r="A52" i="1"/>
  <c r="G52" i="1"/>
  <c r="H52" i="1"/>
  <c r="I52" i="1"/>
  <c r="J52" i="1"/>
  <c r="K52" i="1"/>
  <c r="L52" i="1"/>
  <c r="E47" i="1"/>
  <c r="B47" i="1"/>
  <c r="F47" i="1"/>
  <c r="A47" i="1"/>
  <c r="G47" i="1"/>
  <c r="H47" i="1"/>
  <c r="I47" i="1"/>
  <c r="J47" i="1"/>
  <c r="K47" i="1"/>
  <c r="L47" i="1"/>
  <c r="E10" i="1"/>
  <c r="B10" i="1"/>
  <c r="F10" i="1"/>
  <c r="A10" i="1"/>
  <c r="G10" i="1"/>
  <c r="H10" i="1"/>
  <c r="I10" i="1"/>
  <c r="J10" i="1"/>
  <c r="K10" i="1"/>
  <c r="L10" i="1"/>
  <c r="E59" i="1"/>
  <c r="B59" i="1"/>
  <c r="F59" i="1"/>
  <c r="A59" i="1"/>
  <c r="G59" i="1"/>
  <c r="H59" i="1"/>
  <c r="I59" i="1"/>
  <c r="J59" i="1"/>
  <c r="K59" i="1"/>
  <c r="L59" i="1"/>
  <c r="E40" i="1"/>
  <c r="B40" i="1"/>
  <c r="F40" i="1"/>
  <c r="A40" i="1"/>
  <c r="G40" i="1"/>
  <c r="H40" i="1"/>
  <c r="I40" i="1"/>
  <c r="J40" i="1"/>
  <c r="K40" i="1"/>
  <c r="L40" i="1"/>
  <c r="E35" i="1"/>
  <c r="B35" i="1"/>
  <c r="F35" i="1"/>
  <c r="A35" i="1"/>
  <c r="G35" i="1"/>
  <c r="H35" i="1"/>
  <c r="I35" i="1"/>
  <c r="J35" i="1"/>
  <c r="K35" i="1"/>
  <c r="L35" i="1"/>
  <c r="E50" i="1"/>
  <c r="B50" i="1"/>
  <c r="F50" i="1"/>
  <c r="A50" i="1"/>
  <c r="G50" i="1"/>
  <c r="H50" i="1"/>
  <c r="I50" i="1"/>
  <c r="J50" i="1"/>
  <c r="K50" i="1"/>
  <c r="L50" i="1"/>
  <c r="E24" i="1"/>
  <c r="B24" i="1"/>
  <c r="F24" i="1"/>
  <c r="A24" i="1"/>
  <c r="G24" i="1"/>
  <c r="H24" i="1"/>
  <c r="I24" i="1"/>
  <c r="J24" i="1"/>
  <c r="K24" i="1"/>
  <c r="L24" i="1"/>
  <c r="E43" i="1"/>
  <c r="B43" i="1"/>
  <c r="F43" i="1"/>
  <c r="A43" i="1"/>
  <c r="G43" i="1"/>
  <c r="H43" i="1"/>
  <c r="I43" i="1"/>
  <c r="J43" i="1"/>
  <c r="K43" i="1"/>
  <c r="L43" i="1"/>
  <c r="E44" i="1"/>
  <c r="B44" i="1"/>
  <c r="F44" i="1"/>
  <c r="A44" i="1"/>
  <c r="G44" i="1"/>
  <c r="H44" i="1"/>
  <c r="I44" i="1"/>
  <c r="J44" i="1"/>
  <c r="K44" i="1"/>
  <c r="L44" i="1"/>
  <c r="E4" i="1"/>
  <c r="B4" i="1"/>
  <c r="F4" i="1"/>
  <c r="A4" i="1"/>
  <c r="G4" i="1"/>
  <c r="H4" i="1"/>
  <c r="I4" i="1"/>
  <c r="J4" i="1"/>
  <c r="K4" i="1"/>
  <c r="L4" i="1"/>
  <c r="E56" i="1"/>
  <c r="B56" i="1"/>
  <c r="F56" i="1"/>
  <c r="A56" i="1"/>
  <c r="G56" i="1"/>
  <c r="H56" i="1"/>
  <c r="I56" i="1"/>
  <c r="J56" i="1"/>
  <c r="K56" i="1"/>
  <c r="L56" i="1"/>
  <c r="E57" i="1"/>
  <c r="B57" i="1"/>
  <c r="F57" i="1"/>
  <c r="A57" i="1"/>
  <c r="G57" i="1"/>
  <c r="H57" i="1"/>
  <c r="I57" i="1"/>
  <c r="J57" i="1"/>
  <c r="K57" i="1"/>
  <c r="L57" i="1"/>
  <c r="E5" i="1"/>
  <c r="B5" i="1"/>
  <c r="F5" i="1"/>
  <c r="A5" i="1"/>
  <c r="G5" i="1"/>
  <c r="H5" i="1"/>
  <c r="I5" i="1"/>
  <c r="J5" i="1"/>
  <c r="K5" i="1"/>
  <c r="L5" i="1"/>
  <c r="E36" i="1"/>
  <c r="B36" i="1"/>
  <c r="F36" i="1"/>
  <c r="A36" i="1"/>
  <c r="G36" i="1"/>
  <c r="H36" i="1"/>
  <c r="I36" i="1"/>
  <c r="J36" i="1"/>
  <c r="K36" i="1"/>
  <c r="L36" i="1"/>
  <c r="E11" i="1"/>
  <c r="B11" i="1"/>
  <c r="F11" i="1"/>
  <c r="A11" i="1"/>
  <c r="G11" i="1"/>
  <c r="H11" i="1"/>
  <c r="I11" i="1"/>
  <c r="J11" i="1"/>
  <c r="K11" i="1"/>
  <c r="L11" i="1"/>
  <c r="E12" i="1"/>
  <c r="B12" i="1"/>
  <c r="F12" i="1"/>
  <c r="A12" i="1"/>
  <c r="G12" i="1"/>
  <c r="H12" i="1"/>
  <c r="I12" i="1"/>
  <c r="J12" i="1"/>
  <c r="K12" i="1"/>
  <c r="L12" i="1"/>
  <c r="E13" i="1"/>
  <c r="B13" i="1"/>
  <c r="F13" i="1"/>
  <c r="A13" i="1"/>
  <c r="G13" i="1"/>
  <c r="H13" i="1"/>
  <c r="I13" i="1"/>
  <c r="J13" i="1"/>
  <c r="K13" i="1"/>
  <c r="L13" i="1"/>
  <c r="E20" i="1"/>
  <c r="B20" i="1"/>
  <c r="F20" i="1"/>
  <c r="A20" i="1"/>
  <c r="G20" i="1"/>
  <c r="H20" i="1"/>
  <c r="I20" i="1"/>
  <c r="J20" i="1"/>
  <c r="K20" i="1"/>
  <c r="L20" i="1"/>
  <c r="E31" i="1"/>
  <c r="B31" i="1"/>
  <c r="F31" i="1"/>
  <c r="A31" i="1"/>
  <c r="G31" i="1"/>
  <c r="H31" i="1"/>
  <c r="I31" i="1"/>
  <c r="J31" i="1"/>
  <c r="K31" i="1"/>
  <c r="L31" i="1"/>
  <c r="E16" i="1"/>
  <c r="B16" i="1"/>
  <c r="F16" i="1"/>
  <c r="A16" i="1"/>
  <c r="G16" i="1"/>
  <c r="H16" i="1"/>
  <c r="I16" i="1"/>
  <c r="J16" i="1"/>
  <c r="K16" i="1"/>
  <c r="L16" i="1"/>
</calcChain>
</file>

<file path=xl/sharedStrings.xml><?xml version="1.0" encoding="utf-8"?>
<sst xmlns="http://schemas.openxmlformats.org/spreadsheetml/2006/main" count="10" uniqueCount="10">
  <si>
    <t>PROJECT</t>
  </si>
  <si>
    <t>PGM</t>
  </si>
  <si>
    <t>PSE</t>
  </si>
  <si>
    <t>YEAR</t>
  </si>
  <si>
    <t>LET DATE</t>
  </si>
  <si>
    <t>CONCEPT</t>
  </si>
  <si>
    <t>COUNTY</t>
  </si>
  <si>
    <t>ROUTE</t>
  </si>
  <si>
    <t>NUMBER</t>
  </si>
  <si>
    <t>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</si>
</sst>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0" fontId="18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tabSelected="1" workbookViewId="0">
      <selection activeCell="H6" sqref="H6"/>
    </sheetView>
  </sheetViews>
  <sheetFormatPr defaultColWidth="8.7109375" defaultRowHeight="12" x14ac:dyDescent="0.2"/>
  <cols>
    <col min="1" max="1" width="8.42578125" style="1" bestFit="1" customWidth="1"/>
    <col min="2" max="2" width="4" style="1" bestFit="1" customWidth="1"/>
    <col min="3" max="3" width="8.5703125" style="1" bestFit="1" customWidth="1"/>
    <col min="4" max="4" width="4.28515625" style="1" bestFit="1" customWidth="1"/>
    <col min="5" max="5" width="8.5703125" style="1" bestFit="1" customWidth="1"/>
    <col min="6" max="6" width="7.28515625" style="1" bestFit="1" customWidth="1"/>
    <col min="7" max="7" width="10.140625" style="1" bestFit="1" customWidth="1"/>
    <col min="8" max="8" width="5.5703125" style="1" bestFit="1" customWidth="1"/>
    <col min="9" max="9" width="7" style="1" bestFit="1" customWidth="1"/>
    <col min="10" max="10" width="29" style="1" bestFit="1" customWidth="1"/>
    <col min="11" max="11" width="30.5703125" style="1" bestFit="1" customWidth="1"/>
    <col min="12" max="12" width="28.5703125" style="1" bestFit="1" customWidth="1"/>
    <col min="13" max="13" width="4.85546875" style="1" bestFit="1" customWidth="1"/>
    <col min="14" max="16384" width="8.7109375" style="1"/>
  </cols>
  <sheetData>
    <row r="1" spans="1:1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tr">
        <f>CLEAN("TITLE")</f>
        <v>TITLE</v>
      </c>
      <c r="K1" s="2" t="str">
        <f>CLEAN("LIMIT")</f>
        <v>LIMIT</v>
      </c>
      <c r="L1" s="2" t="str">
        <f>CLEAN("CONCEPT")</f>
        <v>CONCEPT</v>
      </c>
      <c r="M1" s="2" t="s">
        <v>9</v>
      </c>
    </row>
    <row r="2" spans="1:13" x14ac:dyDescent="0.2">
      <c r="A2" s="1" t="str">
        <f>CLEAN("4317-09-71")</f>
        <v>4317-09-71</v>
      </c>
      <c r="B2" s="1" t="str">
        <f t="shared" ref="B2:B9" si="0">CLEAN("205")</f>
        <v>205</v>
      </c>
      <c r="C2" s="1" t="str">
        <f>CLEAN("02/01/2019")</f>
        <v>02/01/2019</v>
      </c>
      <c r="D2" s="1">
        <v>2020</v>
      </c>
      <c r="E2" s="1" t="str">
        <f>CLEAN("07/09/2019")</f>
        <v>07/09/2019</v>
      </c>
      <c r="F2" s="1" t="str">
        <f>CLEAN("BRRPL")</f>
        <v>BRRPL</v>
      </c>
      <c r="G2" s="1" t="str">
        <f>CLEAN("MANITOWOC")</f>
        <v>MANITOWOC</v>
      </c>
      <c r="H2" s="1" t="str">
        <f>CLEAN("LOC")</f>
        <v>LOC</v>
      </c>
      <c r="I2" s="1" t="str">
        <f>CLEAN("STR")</f>
        <v>STR</v>
      </c>
      <c r="J2" s="1" t="str">
        <f>CLEAN("T COOPERSTOWN  COOPERSTOWN ROAD")</f>
        <v>T COOPERSTOWN  COOPERSTOWN ROAD</v>
      </c>
      <c r="K2" s="1" t="str">
        <f>CLEAN("BRANCH DEVILS RIVER")</f>
        <v>BRANCH DEVILS RIVER</v>
      </c>
      <c r="L2" s="1" t="str">
        <f>CLEAN("CONST/BRIDGE REPLACEMENT")</f>
        <v>CONST/BRIDGE REPLACEMENT</v>
      </c>
      <c r="M2" s="1">
        <v>3.7999999999999999E-2</v>
      </c>
    </row>
    <row r="3" spans="1:13" x14ac:dyDescent="0.2">
      <c r="A3" s="1" t="str">
        <f>CLEAN("4603-05-71")</f>
        <v>4603-05-71</v>
      </c>
      <c r="B3" s="1" t="str">
        <f t="shared" si="0"/>
        <v>205</v>
      </c>
      <c r="C3" s="1" t="str">
        <f>CLEAN("05/01/2019")</f>
        <v>05/01/2019</v>
      </c>
      <c r="D3" s="1">
        <v>2020</v>
      </c>
      <c r="E3" s="1" t="str">
        <f t="shared" ref="E3:E8" si="1">CLEAN("11/12/2019")</f>
        <v>11/12/2019</v>
      </c>
      <c r="F3" s="1" t="str">
        <f>CLEAN("BRRPL")</f>
        <v>BRRPL</v>
      </c>
      <c r="G3" s="1" t="str">
        <f>CLEAN("BROWN")</f>
        <v>BROWN</v>
      </c>
      <c r="H3" s="1" t="str">
        <f>CLEAN("CTH")</f>
        <v>CTH</v>
      </c>
      <c r="I3" s="1" t="str">
        <f>CLEAN("V")</f>
        <v>V</v>
      </c>
      <c r="J3" s="1" t="str">
        <f>CLEAN("V BELLEVUE  CTH V")</f>
        <v>V BELLEVUE  CTH V</v>
      </c>
      <c r="K3" s="1" t="str">
        <f>CLEAN("BOWER CREEK BRIDGE")</f>
        <v>BOWER CREEK BRIDGE</v>
      </c>
      <c r="L3" s="1" t="str">
        <f>CLEAN("CONST/BRIDGE REPLACEMENT")</f>
        <v>CONST/BRIDGE REPLACEMENT</v>
      </c>
      <c r="M3" s="1">
        <v>2.5999999999999999E-2</v>
      </c>
    </row>
    <row r="4" spans="1:13" x14ac:dyDescent="0.2">
      <c r="A4" s="1" t="str">
        <f>CLEAN("9027-02-71")</f>
        <v>9027-02-71</v>
      </c>
      <c r="B4" s="1" t="str">
        <f t="shared" si="0"/>
        <v>205</v>
      </c>
      <c r="C4" s="1" t="str">
        <f>CLEAN("08/01/2019")</f>
        <v>08/01/2019</v>
      </c>
      <c r="D4" s="1">
        <v>2020</v>
      </c>
      <c r="E4" s="1" t="str">
        <f t="shared" si="1"/>
        <v>11/12/2019</v>
      </c>
      <c r="F4" s="1" t="str">
        <f>CLEAN("BRRHB")</f>
        <v>BRRHB</v>
      </c>
      <c r="G4" s="1" t="str">
        <f>CLEAN("OCONTO")</f>
        <v>OCONTO</v>
      </c>
      <c r="H4" s="1" t="str">
        <f>CLEAN("CTH")</f>
        <v>CTH</v>
      </c>
      <c r="I4" s="1" t="str">
        <f>CLEAN("BB")</f>
        <v>BB</v>
      </c>
      <c r="J4" s="1" t="str">
        <f>CLEAN("T GILLETT  CTH BB")</f>
        <v>T GILLETT  CTH BB</v>
      </c>
      <c r="K4" s="1" t="str">
        <f>CLEAN("OCONTO RIVER BRIDGE &amp; APPROACHES")</f>
        <v>OCONTO RIVER BRIDGE &amp; APPROACHES</v>
      </c>
      <c r="L4" s="1" t="str">
        <f>CLEAN("CONST/BRRHB B-42-0020")</f>
        <v>CONST/BRRHB B-42-0020</v>
      </c>
      <c r="M4" s="1">
        <v>6.8000000000000005E-2</v>
      </c>
    </row>
    <row r="5" spans="1:13" x14ac:dyDescent="0.2">
      <c r="A5" s="1" t="str">
        <f>CLEAN("9108-02-71")</f>
        <v>9108-02-71</v>
      </c>
      <c r="B5" s="1" t="str">
        <f t="shared" si="0"/>
        <v>205</v>
      </c>
      <c r="C5" s="1" t="str">
        <f>CLEAN("05/01/2019")</f>
        <v>05/01/2019</v>
      </c>
      <c r="D5" s="1">
        <v>2020</v>
      </c>
      <c r="E5" s="1" t="str">
        <f t="shared" si="1"/>
        <v>11/12/2019</v>
      </c>
      <c r="F5" s="1" t="str">
        <f>CLEAN("BRRPL")</f>
        <v>BRRPL</v>
      </c>
      <c r="G5" s="1" t="str">
        <f>CLEAN("OCONTO")</f>
        <v>OCONTO</v>
      </c>
      <c r="H5" s="1" t="str">
        <f>CLEAN("CTH")</f>
        <v>CTH</v>
      </c>
      <c r="I5" s="1" t="str">
        <f>CLEAN("H")</f>
        <v>H</v>
      </c>
      <c r="J5" s="1" t="str">
        <f>CLEAN("T UNDERHILL  CTH H")</f>
        <v>T UNDERHILL  CTH H</v>
      </c>
      <c r="K5" s="1" t="str">
        <f>CLEAN("OCONTO RIVER BRIDGE B-42-0132")</f>
        <v>OCONTO RIVER BRIDGE B-42-0132</v>
      </c>
      <c r="L5" s="1" t="str">
        <f>CLEAN("CONST/BRIDGE REPLACEMENT")</f>
        <v>CONST/BRIDGE REPLACEMENT</v>
      </c>
      <c r="M5" s="1">
        <v>6.2E-2</v>
      </c>
    </row>
    <row r="6" spans="1:13" x14ac:dyDescent="0.2">
      <c r="A6" s="1" t="str">
        <f>CLEAN("4202-04-71")</f>
        <v>4202-04-71</v>
      </c>
      <c r="B6" s="1" t="str">
        <f t="shared" si="0"/>
        <v>205</v>
      </c>
      <c r="C6" s="1" t="str">
        <f>CLEAN("08/15/2019")</f>
        <v>08/15/2019</v>
      </c>
      <c r="D6" s="1">
        <v>2020</v>
      </c>
      <c r="E6" s="1" t="str">
        <f t="shared" si="1"/>
        <v>11/12/2019</v>
      </c>
      <c r="F6" s="1" t="str">
        <f>CLEAN("BRRPL")</f>
        <v>BRRPL</v>
      </c>
      <c r="G6" s="1" t="str">
        <f>CLEAN("SHEBOYGAN")</f>
        <v>SHEBOYGAN</v>
      </c>
      <c r="H6" s="1" t="str">
        <f>CLEAN("LOC")</f>
        <v>LOC</v>
      </c>
      <c r="I6" s="1" t="str">
        <f>CLEAN("STR")</f>
        <v>STR</v>
      </c>
      <c r="J6" s="1" t="str">
        <f>CLEAN("T SHERMAN  SILVER CREEK CASCADE RD")</f>
        <v>T SHERMAN  SILVER CREEK CASCADE RD</v>
      </c>
      <c r="K6" s="1" t="str">
        <f>CLEAN("N BRANCH MILWAUKEE RIVER BRIDGE NOR")</f>
        <v>N BRANCH MILWAUKEE RIVER BRIDGE NOR</v>
      </c>
      <c r="L6" s="1" t="str">
        <f>CLEAN("CONST/BRIDGE REPLACEMENT")</f>
        <v>CONST/BRIDGE REPLACEMENT</v>
      </c>
      <c r="M6" s="1">
        <v>5.6000000000000001E-2</v>
      </c>
    </row>
    <row r="7" spans="1:13" x14ac:dyDescent="0.2">
      <c r="A7" s="1" t="str">
        <f>CLEAN("4202-05-71")</f>
        <v>4202-05-71</v>
      </c>
      <c r="B7" s="1" t="str">
        <f t="shared" si="0"/>
        <v>205</v>
      </c>
      <c r="C7" s="1" t="str">
        <f>CLEAN("08/15/2019")</f>
        <v>08/15/2019</v>
      </c>
      <c r="D7" s="1">
        <v>2020</v>
      </c>
      <c r="E7" s="1" t="str">
        <f t="shared" si="1"/>
        <v>11/12/2019</v>
      </c>
      <c r="F7" s="1" t="str">
        <f>CLEAN("BRRPL")</f>
        <v>BRRPL</v>
      </c>
      <c r="G7" s="1" t="str">
        <f>CLEAN("SHEBOYGAN")</f>
        <v>SHEBOYGAN</v>
      </c>
      <c r="H7" s="1" t="str">
        <f>CLEAN("LOC")</f>
        <v>LOC</v>
      </c>
      <c r="I7" s="1" t="str">
        <f>CLEAN("STR")</f>
        <v>STR</v>
      </c>
      <c r="J7" s="1" t="str">
        <f>CLEAN("T SHERMAN  SILVER CREEK CASCADE RD")</f>
        <v>T SHERMAN  SILVER CREEK CASCADE RD</v>
      </c>
      <c r="K7" s="1" t="str">
        <f>CLEAN("N BRANCH MILWAUKEE RIVER BRIDGE SOU")</f>
        <v>N BRANCH MILWAUKEE RIVER BRIDGE SOU</v>
      </c>
      <c r="L7" s="1" t="str">
        <f>CLEAN("CONST/REPLACEMENT")</f>
        <v>CONST/REPLACEMENT</v>
      </c>
      <c r="M7" s="1">
        <v>0.191</v>
      </c>
    </row>
    <row r="8" spans="1:13" x14ac:dyDescent="0.2">
      <c r="A8" s="1" t="str">
        <f>CLEAN("4202-06-71")</f>
        <v>4202-06-71</v>
      </c>
      <c r="B8" s="1" t="str">
        <f t="shared" si="0"/>
        <v>205</v>
      </c>
      <c r="C8" s="1" t="str">
        <f>CLEAN("08/15/2019")</f>
        <v>08/15/2019</v>
      </c>
      <c r="D8" s="1">
        <v>2020</v>
      </c>
      <c r="E8" s="1" t="str">
        <f t="shared" si="1"/>
        <v>11/12/2019</v>
      </c>
      <c r="F8" s="1" t="str">
        <f>CLEAN("BRRPL")</f>
        <v>BRRPL</v>
      </c>
      <c r="G8" s="1" t="str">
        <f>CLEAN("SHEBOYGAN")</f>
        <v>SHEBOYGAN</v>
      </c>
      <c r="H8" s="1" t="str">
        <f>CLEAN("LOC")</f>
        <v>LOC</v>
      </c>
      <c r="I8" s="1" t="str">
        <f>CLEAN("STR")</f>
        <v>STR</v>
      </c>
      <c r="J8" s="1" t="str">
        <f>CLEAN("T SHERMAN  CREEK ROAD")</f>
        <v>T SHERMAN  CREEK ROAD</v>
      </c>
      <c r="K8" s="1" t="str">
        <f>CLEAN("SILVER CREEK BRIDGE")</f>
        <v>SILVER CREEK BRIDGE</v>
      </c>
      <c r="L8" s="1" t="str">
        <f>CLEAN("CONST/BRIDGE REPLACEMENT")</f>
        <v>CONST/BRIDGE REPLACEMENT</v>
      </c>
      <c r="M8" s="1">
        <v>8.7999999999999995E-2</v>
      </c>
    </row>
    <row r="9" spans="1:13" x14ac:dyDescent="0.2">
      <c r="A9" s="1" t="str">
        <f>CLEAN("4362-02-71")</f>
        <v>4362-02-71</v>
      </c>
      <c r="B9" s="1" t="str">
        <f t="shared" si="0"/>
        <v>205</v>
      </c>
      <c r="C9" s="1" t="str">
        <f t="shared" ref="C9:C19" si="2">CLEAN("08/01/2019")</f>
        <v>08/01/2019</v>
      </c>
      <c r="D9" s="1">
        <v>2020</v>
      </c>
      <c r="E9" s="1" t="str">
        <f>CLEAN("12/10/2019")</f>
        <v>12/10/2019</v>
      </c>
      <c r="F9" s="1" t="str">
        <f>CLEAN("BRRPL")</f>
        <v>BRRPL</v>
      </c>
      <c r="G9" s="1" t="str">
        <f>CLEAN("MANITOWOC")</f>
        <v>MANITOWOC</v>
      </c>
      <c r="H9" s="1" t="str">
        <f>CLEAN("CTH")</f>
        <v>CTH</v>
      </c>
      <c r="I9" s="1" t="str">
        <f>CLEAN("S")</f>
        <v>S</v>
      </c>
      <c r="J9" s="1" t="str">
        <f>CLEAN("T CATO  CTH S")</f>
        <v>T CATO  CTH S</v>
      </c>
      <c r="K9" s="1" t="str">
        <f>CLEAN("MANITOWOC RIVER BRIDGE")</f>
        <v>MANITOWOC RIVER BRIDGE</v>
      </c>
      <c r="L9" s="1" t="str">
        <f>CLEAN("CONST/BRIDGE REPLACEMENT")</f>
        <v>CONST/BRIDGE REPLACEMENT</v>
      </c>
      <c r="M9" s="1">
        <v>8.5000000000000006E-2</v>
      </c>
    </row>
    <row r="10" spans="1:13" x14ac:dyDescent="0.2">
      <c r="A10" s="1" t="str">
        <f>CLEAN("4991-00-97")</f>
        <v>4991-00-97</v>
      </c>
      <c r="B10" s="1" t="str">
        <f>CLEAN("206")</f>
        <v>206</v>
      </c>
      <c r="C10" s="1" t="str">
        <f t="shared" si="2"/>
        <v>08/01/2019</v>
      </c>
      <c r="D10" s="1">
        <v>2020</v>
      </c>
      <c r="E10" s="1" t="str">
        <f>CLEAN("12/10/2019")</f>
        <v>12/10/2019</v>
      </c>
      <c r="F10" s="1" t="str">
        <f>CLEAN("RSRF10")</f>
        <v>RSRF10</v>
      </c>
      <c r="G10" s="1" t="str">
        <f>CLEAN("MANITOWOC")</f>
        <v>MANITOWOC</v>
      </c>
      <c r="H10" s="1" t="str">
        <f>CLEAN("CTH")</f>
        <v>CTH</v>
      </c>
      <c r="I10" s="1" t="str">
        <f>CLEAN("CL")</f>
        <v>CL</v>
      </c>
      <c r="J10" s="1" t="str">
        <f>CLEAN("C MANITOWOC  HECKER ROAD")</f>
        <v>C MANITOWOC  HECKER ROAD</v>
      </c>
      <c r="K10" s="1" t="str">
        <f>CLEAN("USH 151 - VIEBAHN STREET")</f>
        <v>USH 151 - VIEBAHN STREET</v>
      </c>
      <c r="L10" s="1" t="str">
        <f>CLEAN("CONST/RESURFACE")</f>
        <v>CONST/RESURFACE</v>
      </c>
      <c r="M10" s="1">
        <v>0.65600000000000003</v>
      </c>
    </row>
    <row r="11" spans="1:13" x14ac:dyDescent="0.2">
      <c r="A11" s="1" t="str">
        <f>CLEAN("9246-08-71")</f>
        <v>9246-08-71</v>
      </c>
      <c r="B11" s="1" t="str">
        <f t="shared" ref="B11:B16" si="3">CLEAN("205")</f>
        <v>205</v>
      </c>
      <c r="C11" s="1" t="str">
        <f t="shared" si="2"/>
        <v>08/01/2019</v>
      </c>
      <c r="D11" s="1">
        <v>2020</v>
      </c>
      <c r="E11" s="1" t="str">
        <f>CLEAN("12/10/2019")</f>
        <v>12/10/2019</v>
      </c>
      <c r="F11" s="1" t="str">
        <f t="shared" ref="F11:F16" si="4">CLEAN("BRRPL")</f>
        <v>BRRPL</v>
      </c>
      <c r="G11" s="1" t="str">
        <f>CLEAN("MARINETTE")</f>
        <v>MARINETTE</v>
      </c>
      <c r="H11" s="1" t="str">
        <f>CLEAN("LOC")</f>
        <v>LOC</v>
      </c>
      <c r="I11" s="1" t="str">
        <f>CLEAN("STR")</f>
        <v>STR</v>
      </c>
      <c r="J11" s="1" t="str">
        <f>CLEAN("T POUND  NORTH 1ST ROAD")</f>
        <v>T POUND  NORTH 1ST ROAD</v>
      </c>
      <c r="K11" s="1" t="str">
        <f>CLEAN("LITTLE PESHTIGO RIVER BRIDGE")</f>
        <v>LITTLE PESHTIGO RIVER BRIDGE</v>
      </c>
      <c r="L11" s="1" t="str">
        <f t="shared" ref="L11:L16" si="5">CLEAN("CONST/BRIDGE REPLACEMENT")</f>
        <v>CONST/BRIDGE REPLACEMENT</v>
      </c>
      <c r="M11" s="1">
        <v>5.7000000000000002E-2</v>
      </c>
    </row>
    <row r="12" spans="1:13" x14ac:dyDescent="0.2">
      <c r="A12" s="1" t="str">
        <f>CLEAN("9246-09-71")</f>
        <v>9246-09-71</v>
      </c>
      <c r="B12" s="1" t="str">
        <f t="shared" si="3"/>
        <v>205</v>
      </c>
      <c r="C12" s="1" t="str">
        <f t="shared" si="2"/>
        <v>08/01/2019</v>
      </c>
      <c r="D12" s="1">
        <v>2020</v>
      </c>
      <c r="E12" s="1" t="str">
        <f>CLEAN("12/10/2019")</f>
        <v>12/10/2019</v>
      </c>
      <c r="F12" s="1" t="str">
        <f t="shared" si="4"/>
        <v>BRRPL</v>
      </c>
      <c r="G12" s="1" t="str">
        <f>CLEAN("MARINETTE")</f>
        <v>MARINETTE</v>
      </c>
      <c r="H12" s="1" t="str">
        <f>CLEAN("LOC")</f>
        <v>LOC</v>
      </c>
      <c r="I12" s="1" t="str">
        <f>CLEAN("STR")</f>
        <v>STR</v>
      </c>
      <c r="J12" s="1" t="str">
        <f>CLEAN("T POUND  NORTH 5TH ROAD")</f>
        <v>T POUND  NORTH 5TH ROAD</v>
      </c>
      <c r="K12" s="1" t="str">
        <f>CLEAN("LITTLE PESHTIGO RIVER BR B-38-0148")</f>
        <v>LITTLE PESHTIGO RIVER BR B-38-0148</v>
      </c>
      <c r="L12" s="1" t="str">
        <f t="shared" si="5"/>
        <v>CONST/BRIDGE REPLACEMENT</v>
      </c>
      <c r="M12" s="1">
        <v>5.7000000000000002E-2</v>
      </c>
    </row>
    <row r="13" spans="1:13" x14ac:dyDescent="0.2">
      <c r="A13" s="1" t="str">
        <f>CLEAN("9246-10-71")</f>
        <v>9246-10-71</v>
      </c>
      <c r="B13" s="1" t="str">
        <f t="shared" si="3"/>
        <v>205</v>
      </c>
      <c r="C13" s="1" t="str">
        <f t="shared" si="2"/>
        <v>08/01/2019</v>
      </c>
      <c r="D13" s="1">
        <v>2020</v>
      </c>
      <c r="E13" s="1" t="str">
        <f>CLEAN("12/10/2019")</f>
        <v>12/10/2019</v>
      </c>
      <c r="F13" s="1" t="str">
        <f t="shared" si="4"/>
        <v>BRRPL</v>
      </c>
      <c r="G13" s="1" t="str">
        <f>CLEAN("MARINETTE")</f>
        <v>MARINETTE</v>
      </c>
      <c r="H13" s="1" t="str">
        <f>CLEAN("LOC")</f>
        <v>LOC</v>
      </c>
      <c r="I13" s="1" t="str">
        <f>CLEAN("STR")</f>
        <v>STR</v>
      </c>
      <c r="J13" s="1" t="str">
        <f>CLEAN("T GROVER  TOWER HILL ROAD")</f>
        <v>T GROVER  TOWER HILL ROAD</v>
      </c>
      <c r="K13" s="1" t="str">
        <f>CLEAN("LITTLE PESHTIGO RIVER BRIDGE")</f>
        <v>LITTLE PESHTIGO RIVER BRIDGE</v>
      </c>
      <c r="L13" s="1" t="str">
        <f t="shared" si="5"/>
        <v>CONST/BRIDGE REPLACEMENT</v>
      </c>
      <c r="M13" s="1">
        <v>3.3000000000000002E-2</v>
      </c>
    </row>
    <row r="14" spans="1:13" x14ac:dyDescent="0.2">
      <c r="A14" s="1" t="str">
        <f>CLEAN("4327-08-71")</f>
        <v>4327-08-71</v>
      </c>
      <c r="B14" s="1" t="str">
        <f t="shared" si="3"/>
        <v>205</v>
      </c>
      <c r="C14" s="1" t="str">
        <f t="shared" si="2"/>
        <v>08/01/2019</v>
      </c>
      <c r="D14" s="1">
        <v>2020</v>
      </c>
      <c r="E14" s="1" t="str">
        <f>CLEAN("01/14/2020")</f>
        <v>01/14/2020</v>
      </c>
      <c r="F14" s="1" t="str">
        <f t="shared" si="4"/>
        <v>BRRPL</v>
      </c>
      <c r="G14" s="1" t="str">
        <f>CLEAN("BROWN")</f>
        <v>BROWN</v>
      </c>
      <c r="H14" s="1" t="str">
        <f>CLEAN("CTH")</f>
        <v>CTH</v>
      </c>
      <c r="I14" s="1" t="str">
        <f>CLEAN("R")</f>
        <v>R</v>
      </c>
      <c r="J14" s="1" t="str">
        <f>CLEAN("V DENMARK  CTH R")</f>
        <v>V DENMARK  CTH R</v>
      </c>
      <c r="K14" s="1" t="str">
        <f>CLEAN("DEVILS RIVER TRAIL BRIDGE B-05-0438")</f>
        <v>DEVILS RIVER TRAIL BRIDGE B-05-0438</v>
      </c>
      <c r="L14" s="1" t="str">
        <f t="shared" si="5"/>
        <v>CONST/BRIDGE REPLACEMENT</v>
      </c>
      <c r="M14" s="1">
        <v>0.08</v>
      </c>
    </row>
    <row r="15" spans="1:13" x14ac:dyDescent="0.2">
      <c r="A15" s="1" t="str">
        <f>CLEAN("4327-09-71")</f>
        <v>4327-09-71</v>
      </c>
      <c r="B15" s="1" t="str">
        <f t="shared" si="3"/>
        <v>205</v>
      </c>
      <c r="C15" s="1" t="str">
        <f t="shared" si="2"/>
        <v>08/01/2019</v>
      </c>
      <c r="D15" s="1">
        <v>2020</v>
      </c>
      <c r="E15" s="1" t="str">
        <f>CLEAN("01/14/2020")</f>
        <v>01/14/2020</v>
      </c>
      <c r="F15" s="1" t="str">
        <f t="shared" si="4"/>
        <v>BRRPL</v>
      </c>
      <c r="G15" s="1" t="str">
        <f>CLEAN("BROWN")</f>
        <v>BROWN</v>
      </c>
      <c r="H15" s="1" t="str">
        <f>CLEAN("CTH")</f>
        <v>CTH</v>
      </c>
      <c r="I15" s="1" t="str">
        <f>CLEAN("R")</f>
        <v>R</v>
      </c>
      <c r="J15" s="1" t="str">
        <f>CLEAN("V DENMARK  CTH R")</f>
        <v>V DENMARK  CTH R</v>
      </c>
      <c r="K15" s="1" t="str">
        <f>CLEAN("S WALL STREET BRIDGE B-05-0439")</f>
        <v>S WALL STREET BRIDGE B-05-0439</v>
      </c>
      <c r="L15" s="1" t="str">
        <f t="shared" si="5"/>
        <v>CONST/BRIDGE REPLACEMENT</v>
      </c>
      <c r="M15" s="1">
        <v>7.4999999999999997E-2</v>
      </c>
    </row>
    <row r="16" spans="1:13" x14ac:dyDescent="0.2">
      <c r="A16" s="1" t="str">
        <f>CLEAN("9286-05-71")</f>
        <v>9286-05-71</v>
      </c>
      <c r="B16" s="1" t="str">
        <f t="shared" si="3"/>
        <v>205</v>
      </c>
      <c r="C16" s="1" t="str">
        <f t="shared" si="2"/>
        <v>08/01/2019</v>
      </c>
      <c r="D16" s="1">
        <v>2020</v>
      </c>
      <c r="E16" s="1" t="str">
        <f>CLEAN("01/14/2020")</f>
        <v>01/14/2020</v>
      </c>
      <c r="F16" s="1" t="str">
        <f t="shared" si="4"/>
        <v>BRRPL</v>
      </c>
      <c r="G16" s="1" t="str">
        <f>CLEAN("BROWN")</f>
        <v>BROWN</v>
      </c>
      <c r="H16" s="1" t="str">
        <f>CLEAN("CTH")</f>
        <v>CTH</v>
      </c>
      <c r="I16" s="1" t="str">
        <f>CLEAN("J")</f>
        <v>J</v>
      </c>
      <c r="J16" s="1" t="str">
        <f>CLEAN("V SUAMICO  CTH J")</f>
        <v>V SUAMICO  CTH J</v>
      </c>
      <c r="K16" s="1" t="str">
        <f>CLEAN("SUAMICO RIVER BRIDGE")</f>
        <v>SUAMICO RIVER BRIDGE</v>
      </c>
      <c r="L16" s="1" t="str">
        <f t="shared" si="5"/>
        <v>CONST/BRIDGE REPLACEMENT</v>
      </c>
      <c r="M16" s="1">
        <v>7.0999999999999994E-2</v>
      </c>
    </row>
    <row r="17" spans="1:13" x14ac:dyDescent="0.2">
      <c r="A17" s="1" t="str">
        <f>CLEAN("4657-25-03")</f>
        <v>4657-25-03</v>
      </c>
      <c r="B17" s="1" t="str">
        <f>CLEAN("206")</f>
        <v>206</v>
      </c>
      <c r="C17" s="1" t="str">
        <f t="shared" si="2"/>
        <v>08/01/2019</v>
      </c>
      <c r="D17" s="1">
        <v>2020</v>
      </c>
      <c r="E17" s="1" t="str">
        <f>CLEAN("01/14/2020")</f>
        <v>01/14/2020</v>
      </c>
      <c r="F17" s="1" t="str">
        <f>CLEAN("RECST")</f>
        <v>RECST</v>
      </c>
      <c r="G17" s="1" t="str">
        <f>CLEAN("OUTAGAMIE")</f>
        <v>OUTAGAMIE</v>
      </c>
      <c r="H17" s="1" t="str">
        <f>CLEAN("CTH")</f>
        <v>CTH</v>
      </c>
      <c r="I17" s="1" t="str">
        <f>CLEAN("CA")</f>
        <v>CA</v>
      </c>
      <c r="J17" s="1" t="str">
        <f>CLEAN("T GRAND CHUTE  CTH CA")</f>
        <v>T GRAND CHUTE  CTH CA</v>
      </c>
      <c r="K17" s="1" t="str">
        <f>CLEAN("CTH CB - CASALOMA DRIVE")</f>
        <v>CTH CB - CASALOMA DRIVE</v>
      </c>
      <c r="L17" s="1" t="str">
        <f>CLEAN("CONST/RECONSTRUCTION")</f>
        <v>CONST/RECONSTRUCTION</v>
      </c>
      <c r="M17" s="1">
        <v>1.54</v>
      </c>
    </row>
    <row r="18" spans="1:13" x14ac:dyDescent="0.2">
      <c r="A18" s="1" t="str">
        <f>CLEAN("4508-08-71")</f>
        <v>4508-08-71</v>
      </c>
      <c r="B18" s="1" t="str">
        <f>CLEAN("205")</f>
        <v>205</v>
      </c>
      <c r="C18" s="1" t="str">
        <f t="shared" si="2"/>
        <v>08/01/2019</v>
      </c>
      <c r="D18" s="1">
        <v>2020</v>
      </c>
      <c r="E18" s="1" t="str">
        <f>CLEAN("02/11/2020")</f>
        <v>02/11/2020</v>
      </c>
      <c r="F18" s="1" t="str">
        <f>CLEAN("BRRPL")</f>
        <v>BRRPL</v>
      </c>
      <c r="G18" s="1" t="str">
        <f>CLEAN("BROWN")</f>
        <v>BROWN</v>
      </c>
      <c r="H18" s="1" t="str">
        <f>CLEAN("LOC")</f>
        <v>LOC</v>
      </c>
      <c r="I18" s="1" t="str">
        <f>CLEAN("STR")</f>
        <v>STR</v>
      </c>
      <c r="J18" s="1" t="str">
        <f>CLEAN("T MORRISON  PARK VIEW RD")</f>
        <v>T MORRISON  PARK VIEW RD</v>
      </c>
      <c r="K18" s="1" t="str">
        <f>CLEAN("DEVILS RIVER BRIDGE &amp; APPROACHES")</f>
        <v>DEVILS RIVER BRIDGE &amp; APPROACHES</v>
      </c>
      <c r="L18" s="1" t="str">
        <f>CLEAN("CONST/BRRPL B-05-0425")</f>
        <v>CONST/BRRPL B-05-0425</v>
      </c>
      <c r="M18" s="1">
        <v>3.2000000000000001E-2</v>
      </c>
    </row>
    <row r="19" spans="1:13" x14ac:dyDescent="0.2">
      <c r="A19" s="1" t="str">
        <f>CLEAN("4519-09-71")</f>
        <v>4519-09-71</v>
      </c>
      <c r="B19" s="1" t="str">
        <f>CLEAN("205")</f>
        <v>205</v>
      </c>
      <c r="C19" s="1" t="str">
        <f t="shared" si="2"/>
        <v>08/01/2019</v>
      </c>
      <c r="D19" s="1">
        <v>2020</v>
      </c>
      <c r="E19" s="1" t="str">
        <f>CLEAN("02/11/2020")</f>
        <v>02/11/2020</v>
      </c>
      <c r="F19" s="1" t="str">
        <f>CLEAN("BRRPL")</f>
        <v>BRRPL</v>
      </c>
      <c r="G19" s="1" t="str">
        <f>CLEAN("BROWN")</f>
        <v>BROWN</v>
      </c>
      <c r="H19" s="1" t="str">
        <f>CLEAN("LOC")</f>
        <v>LOC</v>
      </c>
      <c r="I19" s="1" t="str">
        <f>CLEAN("STR")</f>
        <v>STR</v>
      </c>
      <c r="J19" s="1" t="str">
        <f>CLEAN("T WRIGHTSTOWN  COUNTY LINE RD")</f>
        <v>T WRIGHTSTOWN  COUNTY LINE RD</v>
      </c>
      <c r="K19" s="1" t="str">
        <f>CLEAN("GOLDEN CREEK BRIDGE &amp; APPROACHES")</f>
        <v>GOLDEN CREEK BRIDGE &amp; APPROACHES</v>
      </c>
      <c r="L19" s="1" t="str">
        <f>CLEAN("CONST/BRRPL-B-5-424")</f>
        <v>CONST/BRRPL-B-5-424</v>
      </c>
      <c r="M19" s="1">
        <v>4.7E-2</v>
      </c>
    </row>
    <row r="20" spans="1:13" x14ac:dyDescent="0.2">
      <c r="A20" s="1" t="str">
        <f>CLEAN("9266-11-03")</f>
        <v>9266-11-03</v>
      </c>
      <c r="B20" s="1" t="str">
        <f>CLEAN("206")</f>
        <v>206</v>
      </c>
      <c r="C20" s="1" t="str">
        <f>CLEAN("10/01/2019")</f>
        <v>10/01/2019</v>
      </c>
      <c r="D20" s="1">
        <v>2020</v>
      </c>
      <c r="E20" s="1" t="str">
        <f>CLEAN("02/11/2020")</f>
        <v>02/11/2020</v>
      </c>
      <c r="F20" s="1" t="str">
        <f>CLEAN("RECST")</f>
        <v>RECST</v>
      </c>
      <c r="G20" s="1" t="str">
        <f>CLEAN("BROWN")</f>
        <v>BROWN</v>
      </c>
      <c r="H20" s="1" t="str">
        <f>CLEAN("CTH")</f>
        <v>CTH</v>
      </c>
      <c r="I20" s="1" t="str">
        <f>CLEAN("HH")</f>
        <v>HH</v>
      </c>
      <c r="J20" s="1" t="str">
        <f>CLEAN("V ASHWAUBENON  VANDERPERREN WAY")</f>
        <v>V ASHWAUBENON  VANDERPERREN WAY</v>
      </c>
      <c r="K20" s="1" t="str">
        <f>CLEAN("HOLMGREN WAY - ASHLAND AVENUE")</f>
        <v>HOLMGREN WAY - ASHLAND AVENUE</v>
      </c>
      <c r="L20" s="1" t="str">
        <f>CLEAN("CONST/RECONSTRUCTION")</f>
        <v>CONST/RECONSTRUCTION</v>
      </c>
      <c r="M20" s="1">
        <v>0.34200000000000003</v>
      </c>
    </row>
    <row r="21" spans="1:13" x14ac:dyDescent="0.2">
      <c r="A21" s="1" t="str">
        <f>CLEAN("4210-07-71")</f>
        <v>4210-07-71</v>
      </c>
      <c r="B21" s="1" t="str">
        <f>CLEAN("205")</f>
        <v>205</v>
      </c>
      <c r="C21" s="1" t="str">
        <f>CLEAN("08/01/2019")</f>
        <v>08/01/2019</v>
      </c>
      <c r="D21" s="1">
        <v>2020</v>
      </c>
      <c r="E21" s="1" t="str">
        <f>CLEAN("02/11/2020")</f>
        <v>02/11/2020</v>
      </c>
      <c r="F21" s="1" t="str">
        <f>CLEAN("BRRPL")</f>
        <v>BRRPL</v>
      </c>
      <c r="G21" s="1" t="str">
        <f>CLEAN("SHEBOYGAN")</f>
        <v>SHEBOYGAN</v>
      </c>
      <c r="H21" s="1" t="str">
        <f>CLEAN("CTH")</f>
        <v>CTH</v>
      </c>
      <c r="I21" s="1" t="str">
        <f>CLEAN("A")</f>
        <v>A</v>
      </c>
      <c r="J21" s="1" t="str">
        <f>CLEAN("T GREENBUSH  CTH A")</f>
        <v>T GREENBUSH  CTH A</v>
      </c>
      <c r="K21" s="1" t="str">
        <f>CLEAN("MULLET RIVER BRIDGE")</f>
        <v>MULLET RIVER BRIDGE</v>
      </c>
      <c r="L21" s="1" t="str">
        <f>CLEAN("CONST/BRIDGE REPLACEMENT")</f>
        <v>CONST/BRIDGE REPLACEMENT</v>
      </c>
      <c r="M21" s="1">
        <v>0.22</v>
      </c>
    </row>
    <row r="22" spans="1:13" x14ac:dyDescent="0.2">
      <c r="A22" s="1" t="str">
        <f>CLEAN("4627-02-71")</f>
        <v>4627-02-71</v>
      </c>
      <c r="B22" s="1" t="str">
        <f>CLEAN("206")</f>
        <v>206</v>
      </c>
      <c r="C22" s="1" t="str">
        <f>CLEAN("11/01/2019")</f>
        <v>11/01/2019</v>
      </c>
      <c r="D22" s="1">
        <v>2020</v>
      </c>
      <c r="E22" s="1" t="str">
        <f>CLEAN("03/10/2020")</f>
        <v>03/10/2020</v>
      </c>
      <c r="F22" s="1" t="str">
        <f>CLEAN("RECST")</f>
        <v>RECST</v>
      </c>
      <c r="G22" s="1" t="str">
        <f>CLEAN("WINNEBAGO")</f>
        <v>WINNEBAGO</v>
      </c>
      <c r="H22" s="1" t="str">
        <f>CLEAN("CTH")</f>
        <v>CTH</v>
      </c>
      <c r="I22" s="1" t="str">
        <f>CLEAN("A")</f>
        <v>A</v>
      </c>
      <c r="J22" s="1" t="str">
        <f>CLEAN("T VINLAND  CTH A")</f>
        <v>T VINLAND  CTH A</v>
      </c>
      <c r="K22" s="1" t="str">
        <f>CLEAN("INDIAN POINT - CTH GG")</f>
        <v>INDIAN POINT - CTH GG</v>
      </c>
      <c r="L22" s="1" t="str">
        <f>CLEAN("CONST/RECONSTRUCT")</f>
        <v>CONST/RECONSTRUCT</v>
      </c>
      <c r="M22" s="1">
        <v>1.3240000000000001</v>
      </c>
    </row>
    <row r="23" spans="1:13" x14ac:dyDescent="0.2">
      <c r="A23" s="1" t="str">
        <f>CLEAN("4665-01-71")</f>
        <v>4665-01-71</v>
      </c>
      <c r="B23" s="1" t="str">
        <f>CLEAN("205")</f>
        <v>205</v>
      </c>
      <c r="C23" s="1" t="str">
        <f>CLEAN("04/01/2020")</f>
        <v>04/01/2020</v>
      </c>
      <c r="D23" s="1">
        <v>2021</v>
      </c>
      <c r="E23" s="1" t="str">
        <f>CLEAN("07/14/2020")</f>
        <v>07/14/2020</v>
      </c>
      <c r="F23" s="1" t="str">
        <f>CLEAN("BRRPL")</f>
        <v>BRRPL</v>
      </c>
      <c r="G23" s="1" t="str">
        <f>CLEAN("OUTAGAMIE")</f>
        <v>OUTAGAMIE</v>
      </c>
      <c r="H23" s="1" t="str">
        <f>CLEAN("CTH")</f>
        <v>CTH</v>
      </c>
      <c r="I23" s="1" t="str">
        <f>CLEAN("CC")</f>
        <v>CC</v>
      </c>
      <c r="J23" s="1" t="str">
        <f>CLEAN("T VANDENBROEK  CTH CC")</f>
        <v>T VANDENBROEK  CTH CC</v>
      </c>
      <c r="K23" s="1" t="str">
        <f>CLEAN("BRANCH APPLE CREEK BRIDGE")</f>
        <v>BRANCH APPLE CREEK BRIDGE</v>
      </c>
      <c r="L23" s="1" t="str">
        <f>CLEAN("CONST/BRRPL P-44-0950")</f>
        <v>CONST/BRRPL P-44-0950</v>
      </c>
      <c r="M23" s="1">
        <v>0</v>
      </c>
    </row>
    <row r="24" spans="1:13" x14ac:dyDescent="0.2">
      <c r="A24" s="1" t="str">
        <f>CLEAN("6500-03-71")</f>
        <v>6500-03-71</v>
      </c>
      <c r="B24" s="1" t="str">
        <f>CLEAN("205")</f>
        <v>205</v>
      </c>
      <c r="C24" s="1" t="str">
        <f>CLEAN("04/01/2020")</f>
        <v>04/01/2020</v>
      </c>
      <c r="D24" s="1">
        <v>2021</v>
      </c>
      <c r="E24" s="1" t="str">
        <f>CLEAN("07/14/2020")</f>
        <v>07/14/2020</v>
      </c>
      <c r="F24" s="1" t="str">
        <f>CLEAN("BRRPL")</f>
        <v>BRRPL</v>
      </c>
      <c r="G24" s="1" t="str">
        <f>CLEAN("OUTAGAMIE")</f>
        <v>OUTAGAMIE</v>
      </c>
      <c r="H24" s="1" t="str">
        <f>CLEAN("LOC")</f>
        <v>LOC</v>
      </c>
      <c r="I24" s="1" t="str">
        <f>CLEAN("STR")</f>
        <v>STR</v>
      </c>
      <c r="J24" s="1" t="str">
        <f>CLEAN("T VANDENBROEK  HICKORY DRIVE")</f>
        <v>T VANDENBROEK  HICKORY DRIVE</v>
      </c>
      <c r="K24" s="1" t="str">
        <f>CLEAN("BRANCH APPLE CREEK BRIDGE")</f>
        <v>BRANCH APPLE CREEK BRIDGE</v>
      </c>
      <c r="L24" s="1" t="str">
        <f>CLEAN("CONST/BRRPL P-44-0941")</f>
        <v>CONST/BRRPL P-44-0941</v>
      </c>
      <c r="M24" s="1">
        <v>0</v>
      </c>
    </row>
    <row r="25" spans="1:13" x14ac:dyDescent="0.2">
      <c r="A25" s="1" t="str">
        <f>CLEAN("4312-08-71")</f>
        <v>4312-08-71</v>
      </c>
      <c r="B25" s="1" t="str">
        <f>CLEAN("205")</f>
        <v>205</v>
      </c>
      <c r="C25" s="1" t="str">
        <f>CLEAN("05/01/2020")</f>
        <v>05/01/2020</v>
      </c>
      <c r="D25" s="1">
        <v>2021</v>
      </c>
      <c r="E25" s="1" t="str">
        <f>CLEAN("08/11/2020")</f>
        <v>08/11/2020</v>
      </c>
      <c r="F25" s="1" t="str">
        <f>CLEAN("BRRPL")</f>
        <v>BRRPL</v>
      </c>
      <c r="G25" s="1" t="str">
        <f>CLEAN("MANITOWOC")</f>
        <v>MANITOWOC</v>
      </c>
      <c r="H25" s="1" t="str">
        <f>CLEAN("LOC")</f>
        <v>LOC</v>
      </c>
      <c r="I25" s="1" t="str">
        <f>CLEAN("STR")</f>
        <v>STR</v>
      </c>
      <c r="J25" s="1" t="str">
        <f>CLEAN("T GIBSON  OLD Y ROAD")</f>
        <v>T GIBSON  OLD Y ROAD</v>
      </c>
      <c r="K25" s="1" t="str">
        <f>CLEAN("WEST TWIN RIVER BRIDGE")</f>
        <v>WEST TWIN RIVER BRIDGE</v>
      </c>
      <c r="L25" s="1" t="str">
        <f>CLEAN("CONST/BRRPL B-36-0001")</f>
        <v>CONST/BRRPL B-36-0001</v>
      </c>
      <c r="M25" s="1">
        <v>0</v>
      </c>
    </row>
    <row r="26" spans="1:13" x14ac:dyDescent="0.2">
      <c r="A26" s="1" t="str">
        <f>CLEAN("3876-05-71")</f>
        <v>3876-05-71</v>
      </c>
      <c r="B26" s="1" t="str">
        <f>CLEAN("206")</f>
        <v>206</v>
      </c>
      <c r="C26" s="1" t="str">
        <f t="shared" ref="C26:C32" si="6">CLEAN("08/01/2020")</f>
        <v>08/01/2020</v>
      </c>
      <c r="D26" s="1">
        <v>2021</v>
      </c>
      <c r="E26" s="1" t="str">
        <f>CLEAN("12/08/2020")</f>
        <v>12/08/2020</v>
      </c>
      <c r="F26" s="1" t="str">
        <f>CLEAN("RECST")</f>
        <v>RECST</v>
      </c>
      <c r="G26" s="1" t="str">
        <f>CLEAN("FOND DU LAC")</f>
        <v>FOND DU LAC</v>
      </c>
      <c r="H26" s="1" t="str">
        <f>CLEAN("CTH")</f>
        <v>CTH</v>
      </c>
      <c r="I26" s="1" t="str">
        <f>CLEAN("D")</f>
        <v>D</v>
      </c>
      <c r="J26" s="1" t="str">
        <f>CLEAN("V OAKFIELD  CTH D")</f>
        <v>V OAKFIELD  CTH D</v>
      </c>
      <c r="K26" s="1" t="str">
        <f>CLEAN("CTH Y - N. SCHOOL STREET")</f>
        <v>CTH Y - N. SCHOOL STREET</v>
      </c>
      <c r="L26" s="1" t="str">
        <f>CLEAN("CONST/RECONSTRUCTION")</f>
        <v>CONST/RECONSTRUCTION</v>
      </c>
      <c r="M26" s="1">
        <v>0.33400000000000002</v>
      </c>
    </row>
    <row r="27" spans="1:13" x14ac:dyDescent="0.2">
      <c r="A27" s="1" t="str">
        <f>CLEAN("4378-07-71")</f>
        <v>4378-07-71</v>
      </c>
      <c r="B27" s="1" t="str">
        <f>CLEAN("205")</f>
        <v>205</v>
      </c>
      <c r="C27" s="1" t="str">
        <f t="shared" si="6"/>
        <v>08/01/2020</v>
      </c>
      <c r="D27" s="1">
        <v>2021</v>
      </c>
      <c r="E27" s="1" t="str">
        <f>CLEAN("12/08/2020")</f>
        <v>12/08/2020</v>
      </c>
      <c r="F27" s="1" t="str">
        <f>CLEAN("BRRPL")</f>
        <v>BRRPL</v>
      </c>
      <c r="G27" s="1" t="str">
        <f>CLEAN("KEWAUNEE")</f>
        <v>KEWAUNEE</v>
      </c>
      <c r="H27" s="1" t="str">
        <f>CLEAN("LOC")</f>
        <v>LOC</v>
      </c>
      <c r="I27" s="1" t="str">
        <f>CLEAN("STR")</f>
        <v>STR</v>
      </c>
      <c r="J27" s="1" t="str">
        <f>CLEAN("T CASCO  ELM ROAD")</f>
        <v>T CASCO  ELM ROAD</v>
      </c>
      <c r="K27" s="1" t="str">
        <f>CLEAN("RIO CREEK BRIDGE")</f>
        <v>RIO CREEK BRIDGE</v>
      </c>
      <c r="L27" s="1" t="str">
        <f>CLEAN("DSGN/BRRPL P-31-0058")</f>
        <v>DSGN/BRRPL P-31-0058</v>
      </c>
      <c r="M27" s="1">
        <v>0</v>
      </c>
    </row>
    <row r="28" spans="1:13" x14ac:dyDescent="0.2">
      <c r="A28" s="1" t="str">
        <f>CLEAN("4318-05-71")</f>
        <v>4318-05-71</v>
      </c>
      <c r="B28" s="1" t="str">
        <f>CLEAN("205")</f>
        <v>205</v>
      </c>
      <c r="C28" s="1" t="str">
        <f t="shared" si="6"/>
        <v>08/01/2020</v>
      </c>
      <c r="D28" s="1">
        <v>2021</v>
      </c>
      <c r="E28" s="1" t="str">
        <f>CLEAN("12/08/2020")</f>
        <v>12/08/2020</v>
      </c>
      <c r="F28" s="1" t="str">
        <f>CLEAN("BRRHB")</f>
        <v>BRRHB</v>
      </c>
      <c r="G28" s="1" t="str">
        <f>CLEAN("MANITOWOC")</f>
        <v>MANITOWOC</v>
      </c>
      <c r="H28" s="1" t="str">
        <f>CLEAN("LOC")</f>
        <v>LOC</v>
      </c>
      <c r="I28" s="1" t="str">
        <f>CLEAN("STR")</f>
        <v>STR</v>
      </c>
      <c r="J28" s="1" t="str">
        <f>CLEAN("T SCHLESWIG  ROCKVILLE ROAD")</f>
        <v>T SCHLESWIG  ROCKVILLE ROAD</v>
      </c>
      <c r="K28" s="1" t="str">
        <f>CLEAN("SHEBOYGAN RIVER BRIDGE")</f>
        <v>SHEBOYGAN RIVER BRIDGE</v>
      </c>
      <c r="L28" s="1" t="str">
        <f>CLEAN("CONST/BRRPL B-36-0023")</f>
        <v>CONST/BRRPL B-36-0023</v>
      </c>
      <c r="M28" s="1">
        <v>0</v>
      </c>
    </row>
    <row r="29" spans="1:13" x14ac:dyDescent="0.2">
      <c r="A29" s="1" t="str">
        <f>CLEAN("4516-08-71")</f>
        <v>4516-08-71</v>
      </c>
      <c r="B29" s="1" t="str">
        <f>CLEAN("206")</f>
        <v>206</v>
      </c>
      <c r="C29" s="1" t="str">
        <f t="shared" si="6"/>
        <v>08/01/2020</v>
      </c>
      <c r="D29" s="1">
        <v>2021</v>
      </c>
      <c r="E29" s="1" t="str">
        <f>CLEAN("01/12/2021")</f>
        <v>01/12/2021</v>
      </c>
      <c r="F29" s="1" t="str">
        <f>CLEAN("RCND10")</f>
        <v>RCND10</v>
      </c>
      <c r="G29" s="1" t="str">
        <f>CLEAN("BROWN")</f>
        <v>BROWN</v>
      </c>
      <c r="H29" s="1" t="str">
        <f>CLEAN("LOC")</f>
        <v>LOC</v>
      </c>
      <c r="I29" s="1" t="str">
        <f>CLEAN("STR")</f>
        <v>STR</v>
      </c>
      <c r="J29" s="1" t="str">
        <f>CLEAN("V BELLEVUE  MANITOWOC ROAD")</f>
        <v>V BELLEVUE  MANITOWOC ROAD</v>
      </c>
      <c r="K29" s="1" t="str">
        <f>CLEAN("ALLOUEZ AVE. - KEWAUNEE RD")</f>
        <v>ALLOUEZ AVE. - KEWAUNEE RD</v>
      </c>
      <c r="L29" s="1" t="str">
        <f>CLEAN("CONST/RECONDITIONING")</f>
        <v>CONST/RECONDITIONING</v>
      </c>
      <c r="M29" s="1">
        <v>1.452</v>
      </c>
    </row>
    <row r="30" spans="1:13" x14ac:dyDescent="0.2">
      <c r="A30" s="1" t="str">
        <f>CLEAN("4616-03-71")</f>
        <v>4616-03-71</v>
      </c>
      <c r="B30" s="1" t="str">
        <f>CLEAN("206")</f>
        <v>206</v>
      </c>
      <c r="C30" s="1" t="str">
        <f t="shared" si="6"/>
        <v>08/01/2020</v>
      </c>
      <c r="D30" s="1">
        <v>2021</v>
      </c>
      <c r="E30" s="1" t="str">
        <f>CLEAN("01/12/2021")</f>
        <v>01/12/2021</v>
      </c>
      <c r="F30" s="1" t="str">
        <f>CLEAN("RECST")</f>
        <v>RECST</v>
      </c>
      <c r="G30" s="1" t="str">
        <f>CLEAN("BROWN")</f>
        <v>BROWN</v>
      </c>
      <c r="H30" s="1" t="str">
        <f>CLEAN("CTH")</f>
        <v>CTH</v>
      </c>
      <c r="I30" s="1" t="str">
        <f>CLEAN("ZZ")</f>
        <v>ZZ</v>
      </c>
      <c r="J30" s="1" t="str">
        <f>CLEAN("T WRIGHTSTOWN  CTH ZZ")</f>
        <v>T WRIGHTSTOWN  CTH ZZ</v>
      </c>
      <c r="K30" s="1" t="str">
        <f>CLEAN("CLAY ST  - MEADOWLARK RD")</f>
        <v>CLAY ST  - MEADOWLARK RD</v>
      </c>
      <c r="L30" s="1" t="str">
        <f>CLEAN("CONST/RECONSTRUCTION")</f>
        <v>CONST/RECONSTRUCTION</v>
      </c>
      <c r="M30" s="1">
        <v>3.9750000000000001</v>
      </c>
    </row>
    <row r="31" spans="1:13" x14ac:dyDescent="0.2">
      <c r="A31" s="1" t="str">
        <f>CLEAN("9267-04-71")</f>
        <v>9267-04-71</v>
      </c>
      <c r="B31" s="1" t="str">
        <f>CLEAN("205")</f>
        <v>205</v>
      </c>
      <c r="C31" s="1" t="str">
        <f t="shared" si="6"/>
        <v>08/01/2020</v>
      </c>
      <c r="D31" s="1">
        <v>2021</v>
      </c>
      <c r="E31" s="1" t="str">
        <f>CLEAN("01/12/2021")</f>
        <v>01/12/2021</v>
      </c>
      <c r="F31" s="1" t="str">
        <f>CLEAN("BRRPL")</f>
        <v>BRRPL</v>
      </c>
      <c r="G31" s="1" t="str">
        <f>CLEAN("BROWN")</f>
        <v>BROWN</v>
      </c>
      <c r="H31" s="1" t="str">
        <f>CLEAN("CTH")</f>
        <v>CTH</v>
      </c>
      <c r="I31" s="1" t="str">
        <f>CLEAN("M")</f>
        <v>M</v>
      </c>
      <c r="J31" s="1" t="str">
        <f>CLEAN("V SUAMICO  CTH M")</f>
        <v>V SUAMICO  CTH M</v>
      </c>
      <c r="K31" s="1" t="str">
        <f>CLEAN("SUAMICO RIVER BRIDGE")</f>
        <v>SUAMICO RIVER BRIDGE</v>
      </c>
      <c r="L31" s="1" t="str">
        <f>CLEAN("CONST/BRRPL B-5-0011")</f>
        <v>CONST/BRRPL B-5-0011</v>
      </c>
      <c r="M31" s="1">
        <v>0</v>
      </c>
    </row>
    <row r="32" spans="1:13" x14ac:dyDescent="0.2">
      <c r="A32" s="1" t="str">
        <f>CLEAN("4850-01-71")</f>
        <v>4850-01-71</v>
      </c>
      <c r="B32" s="1" t="str">
        <f>CLEAN("205")</f>
        <v>205</v>
      </c>
      <c r="C32" s="1" t="str">
        <f t="shared" si="6"/>
        <v>08/01/2020</v>
      </c>
      <c r="D32" s="1">
        <v>2021</v>
      </c>
      <c r="E32" s="1" t="str">
        <f>CLEAN("01/12/2021")</f>
        <v>01/12/2021</v>
      </c>
      <c r="F32" s="1" t="str">
        <f>CLEAN("BRRPL")</f>
        <v>BRRPL</v>
      </c>
      <c r="G32" s="1" t="str">
        <f>CLEAN("FOND DU LAC")</f>
        <v>FOND DU LAC</v>
      </c>
      <c r="H32" s="1" t="str">
        <f>CLEAN("CTH")</f>
        <v>CTH</v>
      </c>
      <c r="I32" s="1" t="str">
        <f>CLEAN("H")</f>
        <v>H</v>
      </c>
      <c r="J32" s="1" t="str">
        <f>CLEAN("T ASHFORD  CTH H")</f>
        <v>T ASHFORD  CTH H</v>
      </c>
      <c r="K32" s="1" t="str">
        <f>CLEAN("EAST BRANCH ROCK RIVER BRIDGE")</f>
        <v>EAST BRANCH ROCK RIVER BRIDGE</v>
      </c>
      <c r="L32" s="1" t="str">
        <f>CLEAN("CONST/BRRPL P200111")</f>
        <v>CONST/BRRPL P200111</v>
      </c>
      <c r="M32" s="1">
        <v>0</v>
      </c>
    </row>
    <row r="33" spans="1:13" x14ac:dyDescent="0.2">
      <c r="A33" s="1" t="str">
        <f>CLEAN("4431-00-71")</f>
        <v>4431-00-71</v>
      </c>
      <c r="B33" s="1" t="str">
        <f>CLEAN("206")</f>
        <v>206</v>
      </c>
      <c r="C33" s="1" t="str">
        <f>CLEAN("11/01/2020")</f>
        <v>11/01/2020</v>
      </c>
      <c r="D33" s="1">
        <v>2021</v>
      </c>
      <c r="E33" s="1" t="str">
        <f>CLEAN("02/09/2021")</f>
        <v>02/09/2021</v>
      </c>
      <c r="F33" s="1" t="str">
        <f>CLEAN("RCND10")</f>
        <v>RCND10</v>
      </c>
      <c r="G33" s="1" t="str">
        <f>CLEAN("DOOR")</f>
        <v>DOOR</v>
      </c>
      <c r="H33" s="1" t="str">
        <f>CLEAN("CTH")</f>
        <v>CTH</v>
      </c>
      <c r="I33" s="1" t="str">
        <f>CLEAN("A")</f>
        <v>A</v>
      </c>
      <c r="J33" s="1" t="str">
        <f>CLEAN("T GIBRALTAR")</f>
        <v>T GIBRALTAR</v>
      </c>
      <c r="K33" s="1" t="str">
        <f>CLEAN("CTH V - CTH E")</f>
        <v>CTH V - CTH E</v>
      </c>
      <c r="L33" s="1" t="str">
        <f>CLEAN("CONST/RECONDITION")</f>
        <v>CONST/RECONDITION</v>
      </c>
      <c r="M33" s="1">
        <v>5.15</v>
      </c>
    </row>
    <row r="34" spans="1:13" x14ac:dyDescent="0.2">
      <c r="A34" s="1" t="str">
        <f>CLEAN("4380-04-71")</f>
        <v>4380-04-71</v>
      </c>
      <c r="B34" s="1" t="str">
        <f>CLEAN("205")</f>
        <v>205</v>
      </c>
      <c r="C34" s="1" t="str">
        <f>CLEAN("11/01/2020")</f>
        <v>11/01/2020</v>
      </c>
      <c r="D34" s="1">
        <v>2021</v>
      </c>
      <c r="E34" s="1" t="str">
        <f>CLEAN("03/09/2021")</f>
        <v>03/09/2021</v>
      </c>
      <c r="F34" s="1" t="str">
        <f>CLEAN("BRRPL")</f>
        <v>BRRPL</v>
      </c>
      <c r="G34" s="1" t="str">
        <f>CLEAN("KEWAUNEE")</f>
        <v>KEWAUNEE</v>
      </c>
      <c r="H34" s="1" t="str">
        <f>CLEAN("LOC")</f>
        <v>LOC</v>
      </c>
      <c r="I34" s="1" t="str">
        <f>CLEAN("STR")</f>
        <v>STR</v>
      </c>
      <c r="J34" s="1" t="str">
        <f>CLEAN("T FRANKLIN  OLD SETTLERS ROAD")</f>
        <v>T FRANKLIN  OLD SETTLERS ROAD</v>
      </c>
      <c r="K34" s="1" t="str">
        <f>CLEAN("BLACK CREEK BRIDGE")</f>
        <v>BLACK CREEK BRIDGE</v>
      </c>
      <c r="L34" s="1" t="str">
        <f>CLEAN("CONST/BRRPL P-31-0084")</f>
        <v>CONST/BRRPL P-31-0084</v>
      </c>
      <c r="M34" s="1">
        <v>0</v>
      </c>
    </row>
    <row r="35" spans="1:13" x14ac:dyDescent="0.2">
      <c r="A35" s="1" t="str">
        <f>CLEAN("6436-00-71")</f>
        <v>6436-00-71</v>
      </c>
      <c r="B35" s="1" t="str">
        <f>CLEAN("206")</f>
        <v>206</v>
      </c>
      <c r="C35" s="1" t="str">
        <f>CLEAN("11/01/2020")</f>
        <v>11/01/2020</v>
      </c>
      <c r="D35" s="1">
        <v>2021</v>
      </c>
      <c r="E35" s="1" t="str">
        <f>CLEAN("03/09/2021")</f>
        <v>03/09/2021</v>
      </c>
      <c r="F35" s="1" t="str">
        <f>CLEAN("RECST")</f>
        <v>RECST</v>
      </c>
      <c r="G35" s="1" t="str">
        <f>CLEAN("WINNEBAGO")</f>
        <v>WINNEBAGO</v>
      </c>
      <c r="H35" s="1" t="str">
        <f>CLEAN("LOC")</f>
        <v>LOC</v>
      </c>
      <c r="I35" s="1" t="str">
        <f>CLEAN("STR")</f>
        <v>STR</v>
      </c>
      <c r="J35" s="1" t="str">
        <f>CLEAN("T ALGOMA  OMRO ROAD")</f>
        <v>T ALGOMA  OMRO ROAD</v>
      </c>
      <c r="K35" s="1" t="str">
        <f>CLEAN("LEONARD POINT RD - BROOKS LANE")</f>
        <v>LEONARD POINT RD - BROOKS LANE</v>
      </c>
      <c r="L35" s="1" t="str">
        <f>CLEAN("CONSTRUCTION/RECONSTRUCT")</f>
        <v>CONSTRUCTION/RECONSTRUCT</v>
      </c>
      <c r="M35" s="1">
        <v>1.7350000000000001</v>
      </c>
    </row>
    <row r="36" spans="1:13" x14ac:dyDescent="0.2">
      <c r="A36" s="1" t="str">
        <f>CLEAN("9115-02-71")</f>
        <v>9115-02-71</v>
      </c>
      <c r="B36" s="1" t="str">
        <f>CLEAN("206")</f>
        <v>206</v>
      </c>
      <c r="C36" s="1" t="str">
        <f t="shared" ref="C36:C42" si="7">CLEAN("02/01/2021")</f>
        <v>02/01/2021</v>
      </c>
      <c r="D36" s="1">
        <v>2021</v>
      </c>
      <c r="E36" s="1" t="str">
        <f>CLEAN("05/11/2021")</f>
        <v>05/11/2021</v>
      </c>
      <c r="F36" s="1" t="str">
        <f>CLEAN("RCND10")</f>
        <v>RCND10</v>
      </c>
      <c r="G36" s="1" t="str">
        <f>CLEAN("OCONTO")</f>
        <v>OCONTO</v>
      </c>
      <c r="H36" s="1" t="str">
        <f>CLEAN("CTH")</f>
        <v>CTH</v>
      </c>
      <c r="I36" s="1" t="str">
        <f>CLEAN("R")</f>
        <v>R</v>
      </c>
      <c r="J36" s="1" t="str">
        <f>CLEAN("T UNDERHILL  CTH R")</f>
        <v>T UNDERHILL  CTH R</v>
      </c>
      <c r="K36" s="1" t="str">
        <f>CLEAN("SHAWANO COUNTY LINE - CTH VV")</f>
        <v>SHAWANO COUNTY LINE - CTH VV</v>
      </c>
      <c r="L36" s="1" t="str">
        <f>CLEAN("CONSTRUCTION/RECONDITION")</f>
        <v>CONSTRUCTION/RECONDITION</v>
      </c>
      <c r="M36" s="1">
        <v>1.75</v>
      </c>
    </row>
    <row r="37" spans="1:13" x14ac:dyDescent="0.2">
      <c r="A37" s="1" t="str">
        <f>CLEAN("3821-01-71")</f>
        <v>3821-01-71</v>
      </c>
      <c r="B37" s="1" t="str">
        <f t="shared" ref="B37:B45" si="8">CLEAN("205")</f>
        <v>205</v>
      </c>
      <c r="C37" s="1" t="str">
        <f t="shared" si="7"/>
        <v>02/01/2021</v>
      </c>
      <c r="D37" s="1">
        <v>2022</v>
      </c>
      <c r="E37" s="1" t="str">
        <f t="shared" ref="E37:E42" si="9">CLEAN("07/13/2021")</f>
        <v>07/13/2021</v>
      </c>
      <c r="F37" s="1" t="str">
        <f t="shared" ref="F37:F45" si="10">CLEAN("BRRPL")</f>
        <v>BRRPL</v>
      </c>
      <c r="G37" s="1" t="str">
        <f>CLEAN("FOND DU LAC")</f>
        <v>FOND DU LAC</v>
      </c>
      <c r="H37" s="1" t="str">
        <f>CLEAN("LOC")</f>
        <v>LOC</v>
      </c>
      <c r="I37" s="1" t="str">
        <f>CLEAN("STR")</f>
        <v>STR</v>
      </c>
      <c r="J37" s="1" t="str">
        <f>CLEAN("T ELDORADO  TOWN LINE ROAD")</f>
        <v>T ELDORADO  TOWN LINE ROAD</v>
      </c>
      <c r="K37" s="1" t="str">
        <f>CLEAN("VAN DYNE CREEK BRIDGE")</f>
        <v>VAN DYNE CREEK BRIDGE</v>
      </c>
      <c r="L37" s="1" t="str">
        <f>CLEAN("CONST/BRRPL P-20-0910")</f>
        <v>CONST/BRRPL P-20-0910</v>
      </c>
      <c r="M37" s="1">
        <v>0</v>
      </c>
    </row>
    <row r="38" spans="1:13" x14ac:dyDescent="0.2">
      <c r="A38" s="1" t="str">
        <f>CLEAN("4814-03-71")</f>
        <v>4814-03-71</v>
      </c>
      <c r="B38" s="1" t="str">
        <f t="shared" si="8"/>
        <v>205</v>
      </c>
      <c r="C38" s="1" t="str">
        <f t="shared" si="7"/>
        <v>02/01/2021</v>
      </c>
      <c r="D38" s="1">
        <v>2022</v>
      </c>
      <c r="E38" s="1" t="str">
        <f t="shared" si="9"/>
        <v>07/13/2021</v>
      </c>
      <c r="F38" s="1" t="str">
        <f t="shared" si="10"/>
        <v>BRRPL</v>
      </c>
      <c r="G38" s="1" t="str">
        <f>CLEAN("FOND DU LAC")</f>
        <v>FOND DU LAC</v>
      </c>
      <c r="H38" s="1" t="str">
        <f>CLEAN("LOC")</f>
        <v>LOC</v>
      </c>
      <c r="I38" s="1" t="str">
        <f>CLEAN("STR")</f>
        <v>STR</v>
      </c>
      <c r="J38" s="1" t="str">
        <f>CLEAN("T ASHFORD  DRUMLIN ROAD")</f>
        <v>T ASHFORD  DRUMLIN ROAD</v>
      </c>
      <c r="K38" s="1" t="str">
        <f>CLEAN("WEST BRANCH MILWAUKEE RIVER BRIDGE")</f>
        <v>WEST BRANCH MILWAUKEE RIVER BRIDGE</v>
      </c>
      <c r="L38" s="1" t="str">
        <f>CLEAN("CONST/BRRPL P-20-0072")</f>
        <v>CONST/BRRPL P-20-0072</v>
      </c>
      <c r="M38" s="1">
        <v>0</v>
      </c>
    </row>
    <row r="39" spans="1:13" x14ac:dyDescent="0.2">
      <c r="A39" s="1" t="str">
        <f>CLEAN("4854-04-71")</f>
        <v>4854-04-71</v>
      </c>
      <c r="B39" s="1" t="str">
        <f t="shared" si="8"/>
        <v>205</v>
      </c>
      <c r="C39" s="1" t="str">
        <f t="shared" si="7"/>
        <v>02/01/2021</v>
      </c>
      <c r="D39" s="1">
        <v>2022</v>
      </c>
      <c r="E39" s="1" t="str">
        <f t="shared" si="9"/>
        <v>07/13/2021</v>
      </c>
      <c r="F39" s="1" t="str">
        <f t="shared" si="10"/>
        <v>BRRPL</v>
      </c>
      <c r="G39" s="1" t="str">
        <f>CLEAN("FOND DU LAC")</f>
        <v>FOND DU LAC</v>
      </c>
      <c r="H39" s="1" t="str">
        <f>CLEAN("CTH")</f>
        <v>CTH</v>
      </c>
      <c r="I39" s="1" t="str">
        <f>CLEAN("G")</f>
        <v>G</v>
      </c>
      <c r="J39" s="1" t="str">
        <f>CLEAN("T FOREST  CTH G")</f>
        <v>T FOREST  CTH G</v>
      </c>
      <c r="K39" s="1" t="str">
        <f>CLEAN("MULLET CREEK BRIDGE")</f>
        <v>MULLET CREEK BRIDGE</v>
      </c>
      <c r="L39" s="1" t="str">
        <f>CLEAN("CONST/BRRPL B-20-0676")</f>
        <v>CONST/BRRPL B-20-0676</v>
      </c>
      <c r="M39" s="1">
        <v>0</v>
      </c>
    </row>
    <row r="40" spans="1:13" x14ac:dyDescent="0.2">
      <c r="A40" s="1" t="str">
        <f>CLEAN("6187-05-71")</f>
        <v>6187-05-71</v>
      </c>
      <c r="B40" s="1" t="str">
        <f t="shared" si="8"/>
        <v>205</v>
      </c>
      <c r="C40" s="1" t="str">
        <f t="shared" si="7"/>
        <v>02/01/2021</v>
      </c>
      <c r="D40" s="1">
        <v>2022</v>
      </c>
      <c r="E40" s="1" t="str">
        <f t="shared" si="9"/>
        <v>07/13/2021</v>
      </c>
      <c r="F40" s="1" t="str">
        <f t="shared" si="10"/>
        <v>BRRPL</v>
      </c>
      <c r="G40" s="1" t="str">
        <f>CLEAN("FOND DU LAC")</f>
        <v>FOND DU LAC</v>
      </c>
      <c r="H40" s="1" t="str">
        <f>CLEAN("LOC")</f>
        <v>LOC</v>
      </c>
      <c r="I40" s="1" t="str">
        <f>CLEAN("STR")</f>
        <v>STR</v>
      </c>
      <c r="J40" s="1" t="str">
        <f>CLEAN("T ALTO  OAK GROVE ROAD")</f>
        <v>T ALTO  OAK GROVE ROAD</v>
      </c>
      <c r="K40" s="1" t="str">
        <f>CLEAN("SOUTH BRANCH ROCK RIVER BRIDGE")</f>
        <v>SOUTH BRANCH ROCK RIVER BRIDGE</v>
      </c>
      <c r="L40" s="1" t="str">
        <f>CLEAN("CONST/BRRPL P-20-0927")</f>
        <v>CONST/BRRPL P-20-0927</v>
      </c>
      <c r="M40" s="1">
        <v>0</v>
      </c>
    </row>
    <row r="41" spans="1:13" x14ac:dyDescent="0.2">
      <c r="A41" s="1" t="str">
        <f>CLEAN("4304-05-71")</f>
        <v>4304-05-71</v>
      </c>
      <c r="B41" s="1" t="str">
        <f t="shared" si="8"/>
        <v>205</v>
      </c>
      <c r="C41" s="1" t="str">
        <f t="shared" si="7"/>
        <v>02/01/2021</v>
      </c>
      <c r="D41" s="1">
        <v>2022</v>
      </c>
      <c r="E41" s="1" t="str">
        <f t="shared" si="9"/>
        <v>07/13/2021</v>
      </c>
      <c r="F41" s="1" t="str">
        <f t="shared" si="10"/>
        <v>BRRPL</v>
      </c>
      <c r="G41" s="1" t="str">
        <f>CLEAN("MANITOWOC")</f>
        <v>MANITOWOC</v>
      </c>
      <c r="H41" s="1" t="str">
        <f>CLEAN("CTH")</f>
        <v>CTH</v>
      </c>
      <c r="I41" s="1" t="str">
        <f>CLEAN("Q")</f>
        <v>Q</v>
      </c>
      <c r="J41" s="1" t="str">
        <f>CLEAN("T MANITOWOC  CTH Q")</f>
        <v>T MANITOWOC  CTH Q</v>
      </c>
      <c r="K41" s="1" t="str">
        <f>CLEAN("LITTLE MANITOWOC RIVER BRIDGE")</f>
        <v>LITTLE MANITOWOC RIVER BRIDGE</v>
      </c>
      <c r="L41" s="1" t="str">
        <f>CLEAN("CONST/BRRPL P36-0914")</f>
        <v>CONST/BRRPL P36-0914</v>
      </c>
      <c r="M41" s="1">
        <v>0</v>
      </c>
    </row>
    <row r="42" spans="1:13" x14ac:dyDescent="0.2">
      <c r="A42" s="1" t="str">
        <f>CLEAN("4304-06-71")</f>
        <v>4304-06-71</v>
      </c>
      <c r="B42" s="1" t="str">
        <f t="shared" si="8"/>
        <v>205</v>
      </c>
      <c r="C42" s="1" t="str">
        <f t="shared" si="7"/>
        <v>02/01/2021</v>
      </c>
      <c r="D42" s="1">
        <v>2022</v>
      </c>
      <c r="E42" s="1" t="str">
        <f t="shared" si="9"/>
        <v>07/13/2021</v>
      </c>
      <c r="F42" s="1" t="str">
        <f t="shared" si="10"/>
        <v>BRRPL</v>
      </c>
      <c r="G42" s="1" t="str">
        <f>CLEAN("MANITOWOC")</f>
        <v>MANITOWOC</v>
      </c>
      <c r="H42" s="1" t="str">
        <f>CLEAN("CTH")</f>
        <v>CTH</v>
      </c>
      <c r="I42" s="1" t="str">
        <f>CLEAN("Q")</f>
        <v>Q</v>
      </c>
      <c r="J42" s="1" t="str">
        <f>CLEAN("T MANITOWOC  CTH Q")</f>
        <v>T MANITOWOC  CTH Q</v>
      </c>
      <c r="K42" s="1" t="str">
        <f>CLEAN("LITTLE MANITOWOC RIVER BRIDGE")</f>
        <v>LITTLE MANITOWOC RIVER BRIDGE</v>
      </c>
      <c r="L42" s="1" t="str">
        <f>CLEAN("CONST/BRRPL P-36-0912")</f>
        <v>CONST/BRRPL P-36-0912</v>
      </c>
      <c r="M42" s="1">
        <v>0</v>
      </c>
    </row>
    <row r="43" spans="1:13" x14ac:dyDescent="0.2">
      <c r="A43" s="1" t="str">
        <f>CLEAN("6501-06-71")</f>
        <v>6501-06-71</v>
      </c>
      <c r="B43" s="1" t="str">
        <f t="shared" si="8"/>
        <v>205</v>
      </c>
      <c r="C43" s="1" t="str">
        <f>CLEAN("05/01/2021")</f>
        <v>05/01/2021</v>
      </c>
      <c r="D43" s="1">
        <v>2022</v>
      </c>
      <c r="E43" s="1" t="str">
        <f>CLEAN("08/10/2021")</f>
        <v>08/10/2021</v>
      </c>
      <c r="F43" s="1" t="str">
        <f t="shared" si="10"/>
        <v>BRRPL</v>
      </c>
      <c r="G43" s="1" t="str">
        <f>CLEAN("OUTAGAMIE")</f>
        <v>OUTAGAMIE</v>
      </c>
      <c r="H43" s="1" t="str">
        <f t="shared" ref="H43:H54" si="11">CLEAN("LOC")</f>
        <v>LOC</v>
      </c>
      <c r="I43" s="1" t="str">
        <f t="shared" ref="I43:I54" si="12">CLEAN("STR")</f>
        <v>STR</v>
      </c>
      <c r="J43" s="1" t="str">
        <f>CLEAN("T FREEDOM  MALONEY ROAD")</f>
        <v>T FREEDOM  MALONEY ROAD</v>
      </c>
      <c r="K43" s="1" t="str">
        <f>CLEAN("BRANCH APPLE CREEK BRIDGE")</f>
        <v>BRANCH APPLE CREEK BRIDGE</v>
      </c>
      <c r="L43" s="1" t="str">
        <f>CLEAN("CONST/BRRPL P-44-0113")</f>
        <v>CONST/BRRPL P-44-0113</v>
      </c>
      <c r="M43" s="1">
        <v>0</v>
      </c>
    </row>
    <row r="44" spans="1:13" x14ac:dyDescent="0.2">
      <c r="A44" s="1" t="str">
        <f>CLEAN("6506-05-71")</f>
        <v>6506-05-71</v>
      </c>
      <c r="B44" s="1" t="str">
        <f t="shared" si="8"/>
        <v>205</v>
      </c>
      <c r="C44" s="1" t="str">
        <f>CLEAN("05/01/2021")</f>
        <v>05/01/2021</v>
      </c>
      <c r="D44" s="1">
        <v>2022</v>
      </c>
      <c r="E44" s="1" t="str">
        <f>CLEAN("08/10/2021")</f>
        <v>08/10/2021</v>
      </c>
      <c r="F44" s="1" t="str">
        <f t="shared" si="10"/>
        <v>BRRPL</v>
      </c>
      <c r="G44" s="1" t="str">
        <f>CLEAN("OUTAGAMIE")</f>
        <v>OUTAGAMIE</v>
      </c>
      <c r="H44" s="1" t="str">
        <f t="shared" si="11"/>
        <v>LOC</v>
      </c>
      <c r="I44" s="1" t="str">
        <f t="shared" si="12"/>
        <v>STR</v>
      </c>
      <c r="J44" s="1" t="str">
        <f>CLEAN("T CICERO  OLD HIGHWAY 47")</f>
        <v>T CICERO  OLD HIGHWAY 47</v>
      </c>
      <c r="K44" s="1" t="str">
        <f>CLEAN("TOAD CREEK BRIDGE")</f>
        <v>TOAD CREEK BRIDGE</v>
      </c>
      <c r="L44" s="1" t="str">
        <f>CLEAN("CONST/BRRPL P-44-0906")</f>
        <v>CONST/BRRPL P-44-0906</v>
      </c>
      <c r="M44" s="1">
        <v>0</v>
      </c>
    </row>
    <row r="45" spans="1:13" x14ac:dyDescent="0.2">
      <c r="A45" s="1" t="str">
        <f>CLEAN("4375-06-71")</f>
        <v>4375-06-71</v>
      </c>
      <c r="B45" s="1" t="str">
        <f t="shared" si="8"/>
        <v>205</v>
      </c>
      <c r="C45" s="1" t="str">
        <f t="shared" ref="C45:C50" si="13">CLEAN("08/01/2021")</f>
        <v>08/01/2021</v>
      </c>
      <c r="D45" s="1">
        <v>2022</v>
      </c>
      <c r="E45" s="1" t="str">
        <f>CLEAN("12/14/2021")</f>
        <v>12/14/2021</v>
      </c>
      <c r="F45" s="1" t="str">
        <f t="shared" si="10"/>
        <v>BRRPL</v>
      </c>
      <c r="G45" s="1" t="str">
        <f>CLEAN("KEWAUNEE")</f>
        <v>KEWAUNEE</v>
      </c>
      <c r="H45" s="1" t="str">
        <f t="shared" si="11"/>
        <v>LOC</v>
      </c>
      <c r="I45" s="1" t="str">
        <f t="shared" si="12"/>
        <v>STR</v>
      </c>
      <c r="J45" s="1" t="str">
        <f>CLEAN("T AHNAPEE  WILLOW DRIVE")</f>
        <v>T AHNAPEE  WILLOW DRIVE</v>
      </c>
      <c r="K45" s="1" t="str">
        <f>CLEAN("SILVER CREEK BRIDGE")</f>
        <v>SILVER CREEK BRIDGE</v>
      </c>
      <c r="L45" s="1" t="str">
        <f>CLEAN("CONST/BRRPL P-31-0042")</f>
        <v>CONST/BRRPL P-31-0042</v>
      </c>
      <c r="M45" s="1">
        <v>0</v>
      </c>
    </row>
    <row r="46" spans="1:13" x14ac:dyDescent="0.2">
      <c r="A46" s="1" t="str">
        <f>CLEAN("4291-02-71")</f>
        <v>4291-02-71</v>
      </c>
      <c r="B46" s="1" t="str">
        <f>CLEAN("290")</f>
        <v>290</v>
      </c>
      <c r="C46" s="1" t="str">
        <f t="shared" si="13"/>
        <v>08/01/2021</v>
      </c>
      <c r="D46" s="1">
        <v>2022</v>
      </c>
      <c r="E46" s="1" t="str">
        <f>CLEAN("12/14/2021")</f>
        <v>12/14/2021</v>
      </c>
      <c r="F46" s="1" t="str">
        <f>CLEAN("MISC")</f>
        <v>MISC</v>
      </c>
      <c r="G46" s="1" t="str">
        <f>CLEAN("SHEBOYGAN")</f>
        <v>SHEBOYGAN</v>
      </c>
      <c r="H46" s="1" t="str">
        <f t="shared" si="11"/>
        <v>LOC</v>
      </c>
      <c r="I46" s="1" t="str">
        <f t="shared" si="12"/>
        <v>STR</v>
      </c>
      <c r="J46" s="1" t="str">
        <f>CLEAN("C SHEBOYGAN  INDIANA AVE")</f>
        <v>C SHEBOYGAN  INDIANA AVE</v>
      </c>
      <c r="K46" s="1" t="str">
        <f>CLEAN("ESSLINGEN PARK TO SOUTH 24TH STREET")</f>
        <v>ESSLINGEN PARK TO SOUTH 24TH STREET</v>
      </c>
      <c r="L46" s="1" t="str">
        <f>CLEAN("CONSTRUCTION/NTPP")</f>
        <v>CONSTRUCTION/NTPP</v>
      </c>
      <c r="M46" s="1">
        <v>0.38</v>
      </c>
    </row>
    <row r="47" spans="1:13" x14ac:dyDescent="0.2">
      <c r="A47" s="1" t="str">
        <f>CLEAN("4987-11-71")</f>
        <v>4987-11-71</v>
      </c>
      <c r="B47" s="1" t="str">
        <f>CLEAN("205")</f>
        <v>205</v>
      </c>
      <c r="C47" s="1" t="str">
        <f t="shared" si="13"/>
        <v>08/01/2021</v>
      </c>
      <c r="D47" s="1">
        <v>2022</v>
      </c>
      <c r="E47" s="1" t="str">
        <f>CLEAN("01/11/2022")</f>
        <v>01/11/2022</v>
      </c>
      <c r="F47" s="1" t="str">
        <f>CLEAN("BRRPL")</f>
        <v>BRRPL</v>
      </c>
      <c r="G47" s="1" t="str">
        <f>CLEAN("BROWN")</f>
        <v>BROWN</v>
      </c>
      <c r="H47" s="1" t="str">
        <f t="shared" si="11"/>
        <v>LOC</v>
      </c>
      <c r="I47" s="1" t="str">
        <f t="shared" si="12"/>
        <v>STR</v>
      </c>
      <c r="J47" s="1" t="str">
        <f>CLEAN("C GREEN BAY  TAYLOR STREET")</f>
        <v>C GREEN BAY  TAYLOR STREET</v>
      </c>
      <c r="K47" s="1" t="str">
        <f>CLEAN("BEAVER DAM CREEK BRIDGE")</f>
        <v>BEAVER DAM CREEK BRIDGE</v>
      </c>
      <c r="L47" s="1" t="str">
        <f>CLEAN("CONST/BRRPL P-05-0721")</f>
        <v>CONST/BRRPL P-05-0721</v>
      </c>
      <c r="M47" s="1">
        <v>0</v>
      </c>
    </row>
    <row r="48" spans="1:13" x14ac:dyDescent="0.2">
      <c r="A48" s="1" t="str">
        <f>CLEAN("4809-11-71")</f>
        <v>4809-11-71</v>
      </c>
      <c r="B48" s="1" t="str">
        <f>CLEAN("205")</f>
        <v>205</v>
      </c>
      <c r="C48" s="1" t="str">
        <f t="shared" si="13"/>
        <v>08/01/2021</v>
      </c>
      <c r="D48" s="1">
        <v>2022</v>
      </c>
      <c r="E48" s="1" t="str">
        <f>CLEAN("01/11/2022")</f>
        <v>01/11/2022</v>
      </c>
      <c r="F48" s="1" t="str">
        <f>CLEAN("BRRPL")</f>
        <v>BRRPL</v>
      </c>
      <c r="G48" s="1" t="str">
        <f>CLEAN("FOND DU LAC")</f>
        <v>FOND DU LAC</v>
      </c>
      <c r="H48" s="1" t="str">
        <f t="shared" si="11"/>
        <v>LOC</v>
      </c>
      <c r="I48" s="1" t="str">
        <f t="shared" si="12"/>
        <v>STR</v>
      </c>
      <c r="J48" s="1" t="str">
        <f>CLEAN("T FOND DU LAC  HICKORY ROAD")</f>
        <v>T FOND DU LAC  HICKORY ROAD</v>
      </c>
      <c r="K48" s="1" t="str">
        <f>CLEAN("EAST BR. FOND DU LAC RIVER BRIDGE")</f>
        <v>EAST BR. FOND DU LAC RIVER BRIDGE</v>
      </c>
      <c r="L48" s="1" t="str">
        <f>CLEAN("CONST/BRRPL P-20-0091")</f>
        <v>CONST/BRRPL P-20-0091</v>
      </c>
      <c r="M48" s="1">
        <v>0</v>
      </c>
    </row>
    <row r="49" spans="1:13" x14ac:dyDescent="0.2">
      <c r="A49" s="1" t="str">
        <f>CLEAN("4986-00-25")</f>
        <v>4986-00-25</v>
      </c>
      <c r="B49" s="1" t="str">
        <f>CLEAN("206")</f>
        <v>206</v>
      </c>
      <c r="C49" s="1" t="str">
        <f t="shared" si="13"/>
        <v>08/01/2021</v>
      </c>
      <c r="D49" s="1">
        <v>2022</v>
      </c>
      <c r="E49" s="1" t="str">
        <f>CLEAN("01/11/2022")</f>
        <v>01/11/2022</v>
      </c>
      <c r="F49" s="1" t="str">
        <f>CLEAN("RECST")</f>
        <v>RECST</v>
      </c>
      <c r="G49" s="1" t="str">
        <f>CLEAN("FOND DU LAC")</f>
        <v>FOND DU LAC</v>
      </c>
      <c r="H49" s="1" t="str">
        <f t="shared" si="11"/>
        <v>LOC</v>
      </c>
      <c r="I49" s="1" t="str">
        <f t="shared" si="12"/>
        <v>STR</v>
      </c>
      <c r="J49" s="1" t="str">
        <f>CLEAN("C FOND DU LAC  MILITARY ROAD")</f>
        <v>C FOND DU LAC  MILITARY ROAD</v>
      </c>
      <c r="K49" s="1" t="str">
        <f>CLEAN("SUPERIOR STREET - WESTERN AVENUE")</f>
        <v>SUPERIOR STREET - WESTERN AVENUE</v>
      </c>
      <c r="L49" s="1" t="str">
        <f>CLEAN("CONSTRUCTION/RECONSTRUCT")</f>
        <v>CONSTRUCTION/RECONSTRUCT</v>
      </c>
      <c r="M49" s="1">
        <v>0.65900000000000003</v>
      </c>
    </row>
    <row r="50" spans="1:13" x14ac:dyDescent="0.2">
      <c r="A50" s="1" t="str">
        <f>CLEAN("6498-06-71")</f>
        <v>6498-06-71</v>
      </c>
      <c r="B50" s="1" t="str">
        <f>CLEAN("205")</f>
        <v>205</v>
      </c>
      <c r="C50" s="1" t="str">
        <f t="shared" si="13"/>
        <v>08/01/2021</v>
      </c>
      <c r="D50" s="1">
        <v>2022</v>
      </c>
      <c r="E50" s="1" t="str">
        <f>CLEAN("01/11/2022")</f>
        <v>01/11/2022</v>
      </c>
      <c r="F50" s="1" t="str">
        <f>CLEAN("BRRPL")</f>
        <v>BRRPL</v>
      </c>
      <c r="G50" s="1" t="str">
        <f>CLEAN("OUTAGAMIE")</f>
        <v>OUTAGAMIE</v>
      </c>
      <c r="H50" s="1" t="str">
        <f t="shared" si="11"/>
        <v>LOC</v>
      </c>
      <c r="I50" s="1" t="str">
        <f t="shared" si="12"/>
        <v>STR</v>
      </c>
      <c r="J50" s="1" t="str">
        <f>CLEAN("C KAUKAUNA  ISLAND STREET")</f>
        <v>C KAUKAUNA  ISLAND STREET</v>
      </c>
      <c r="K50" s="1" t="str">
        <f>CLEAN("POWER CANAL TAIL RACE")</f>
        <v>POWER CANAL TAIL RACE</v>
      </c>
      <c r="L50" s="1" t="str">
        <f>CLEAN("CONST/BRRPL P-44-0712")</f>
        <v>CONST/BRRPL P-44-0712</v>
      </c>
      <c r="M50" s="1">
        <v>0</v>
      </c>
    </row>
    <row r="51" spans="1:13" x14ac:dyDescent="0.2">
      <c r="A51" s="1" t="str">
        <f>CLEAN("4656-06-71")</f>
        <v>4656-06-71</v>
      </c>
      <c r="B51" s="1" t="str">
        <f>CLEAN("206")</f>
        <v>206</v>
      </c>
      <c r="C51" s="1" t="str">
        <f>CLEAN("11/01/2021")</f>
        <v>11/01/2021</v>
      </c>
      <c r="D51" s="1">
        <v>2022</v>
      </c>
      <c r="E51" s="1" t="str">
        <f>CLEAN("02/08/2022")</f>
        <v>02/08/2022</v>
      </c>
      <c r="F51" s="1" t="str">
        <f>CLEAN("RECST")</f>
        <v>RECST</v>
      </c>
      <c r="G51" s="1" t="str">
        <f>CLEAN("OUTAGAMIE")</f>
        <v>OUTAGAMIE</v>
      </c>
      <c r="H51" s="1" t="str">
        <f t="shared" si="11"/>
        <v>LOC</v>
      </c>
      <c r="I51" s="1" t="str">
        <f t="shared" si="12"/>
        <v>STR</v>
      </c>
      <c r="J51" s="1" t="str">
        <f>CLEAN("T BUCHANAN  EMONS ROAD")</f>
        <v>T BUCHANAN  EMONS ROAD</v>
      </c>
      <c r="K51" s="1" t="str">
        <f>CLEAN("PINECREST BLVD - CTH N")</f>
        <v>PINECREST BLVD - CTH N</v>
      </c>
      <c r="L51" s="1" t="str">
        <f>CLEAN("CONSTRUCTION/RECONSTRUCT")</f>
        <v>CONSTRUCTION/RECONSTRUCT</v>
      </c>
      <c r="M51" s="1">
        <v>0.748</v>
      </c>
    </row>
    <row r="52" spans="1:13" x14ac:dyDescent="0.2">
      <c r="A52" s="1" t="str">
        <f>CLEAN("4986-12-71")</f>
        <v>4986-12-71</v>
      </c>
      <c r="B52" s="1" t="str">
        <f>CLEAN("205")</f>
        <v>205</v>
      </c>
      <c r="C52" s="1" t="str">
        <f>CLEAN("11/01/2021")</f>
        <v>11/01/2021</v>
      </c>
      <c r="D52" s="1">
        <v>2022</v>
      </c>
      <c r="E52" s="1" t="str">
        <f t="shared" ref="E52:E58" si="14">CLEAN("03/08/2022")</f>
        <v>03/08/2022</v>
      </c>
      <c r="F52" s="1" t="str">
        <f>CLEAN("BRRPL")</f>
        <v>BRRPL</v>
      </c>
      <c r="G52" s="1" t="str">
        <f>CLEAN("FOND DU LAC")</f>
        <v>FOND DU LAC</v>
      </c>
      <c r="H52" s="1" t="str">
        <f t="shared" si="11"/>
        <v>LOC</v>
      </c>
      <c r="I52" s="1" t="str">
        <f t="shared" si="12"/>
        <v>STR</v>
      </c>
      <c r="J52" s="1" t="str">
        <f>CLEAN("C FOND DU LAC  WEST DIVISON STREET")</f>
        <v>C FOND DU LAC  WEST DIVISON STREET</v>
      </c>
      <c r="K52" s="1" t="str">
        <f>CLEAN("WEST BRANCH FOND DU LAC RIVER BRIDG")</f>
        <v>WEST BRANCH FOND DU LAC RIVER BRIDG</v>
      </c>
      <c r="L52" s="1" t="str">
        <f>CLEAN("CONST/BRRPL P-20-0711")</f>
        <v>CONST/BRRPL P-20-0711</v>
      </c>
      <c r="M52" s="1">
        <v>0</v>
      </c>
    </row>
    <row r="53" spans="1:13" x14ac:dyDescent="0.2">
      <c r="A53" s="1" t="str">
        <f>CLEAN("4310-01-71")</f>
        <v>4310-01-71</v>
      </c>
      <c r="B53" s="1" t="str">
        <f>CLEAN("205")</f>
        <v>205</v>
      </c>
      <c r="C53" s="1" t="str">
        <f>CLEAN("11/01/2021")</f>
        <v>11/01/2021</v>
      </c>
      <c r="D53" s="1">
        <v>2022</v>
      </c>
      <c r="E53" s="1" t="str">
        <f t="shared" si="14"/>
        <v>03/08/2022</v>
      </c>
      <c r="F53" s="1" t="str">
        <f>CLEAN("BRRPL")</f>
        <v>BRRPL</v>
      </c>
      <c r="G53" s="1" t="str">
        <f>CLEAN("MANITOWOC")</f>
        <v>MANITOWOC</v>
      </c>
      <c r="H53" s="1" t="str">
        <f t="shared" si="11"/>
        <v>LOC</v>
      </c>
      <c r="I53" s="1" t="str">
        <f t="shared" si="12"/>
        <v>STR</v>
      </c>
      <c r="J53" s="1" t="str">
        <f>CLEAN("T MANITOWOC RAPIDS  N UNION ROAD")</f>
        <v>T MANITOWOC RAPIDS  N UNION ROAD</v>
      </c>
      <c r="K53" s="1" t="str">
        <f>CLEAN("BRANCH RIVER ROAD BRIDGE")</f>
        <v>BRANCH RIVER ROAD BRIDGE</v>
      </c>
      <c r="L53" s="1" t="str">
        <f>CLEAN("CONST/BRRPL P36-0144")</f>
        <v>CONST/BRRPL P36-0144</v>
      </c>
      <c r="M53" s="1">
        <v>0</v>
      </c>
    </row>
    <row r="54" spans="1:13" x14ac:dyDescent="0.2">
      <c r="A54" s="1" t="str">
        <f>CLEAN("4313-11-71")</f>
        <v>4313-11-71</v>
      </c>
      <c r="B54" s="1" t="str">
        <f>CLEAN("205")</f>
        <v>205</v>
      </c>
      <c r="C54" s="1" t="str">
        <f>CLEAN("11/01/2021")</f>
        <v>11/01/2021</v>
      </c>
      <c r="D54" s="1">
        <v>2022</v>
      </c>
      <c r="E54" s="1" t="str">
        <f t="shared" si="14"/>
        <v>03/08/2022</v>
      </c>
      <c r="F54" s="1" t="str">
        <f>CLEAN("BRRPL")</f>
        <v>BRRPL</v>
      </c>
      <c r="G54" s="1" t="str">
        <f>CLEAN("MANITOWOC")</f>
        <v>MANITOWOC</v>
      </c>
      <c r="H54" s="1" t="str">
        <f t="shared" si="11"/>
        <v>LOC</v>
      </c>
      <c r="I54" s="1" t="str">
        <f t="shared" si="12"/>
        <v>STR</v>
      </c>
      <c r="J54" s="1" t="str">
        <f>CLEAN("T MEEME  WEST WASHINGTON ROAD")</f>
        <v>T MEEME  WEST WASHINGTON ROAD</v>
      </c>
      <c r="K54" s="1" t="str">
        <f>CLEAN("MEEME RIVER BRIDGE")</f>
        <v>MEEME RIVER BRIDGE</v>
      </c>
      <c r="L54" s="1" t="str">
        <f>CLEAN("CONST/BRRPL P-36-0193")</f>
        <v>CONST/BRRPL P-36-0193</v>
      </c>
      <c r="M54" s="1">
        <v>0</v>
      </c>
    </row>
    <row r="55" spans="1:13" x14ac:dyDescent="0.2">
      <c r="A55" s="1" t="str">
        <f>CLEAN("4348-05-71")</f>
        <v>4348-05-71</v>
      </c>
      <c r="B55" s="1" t="str">
        <f>CLEAN("205")</f>
        <v>205</v>
      </c>
      <c r="C55" s="1" t="str">
        <f>CLEAN("--/--/----")</f>
        <v>--/--/----</v>
      </c>
      <c r="D55" s="1">
        <v>2022</v>
      </c>
      <c r="E55" s="1" t="str">
        <f t="shared" si="14"/>
        <v>03/08/2022</v>
      </c>
      <c r="F55" s="1" t="str">
        <f>CLEAN("BRRPL")</f>
        <v>BRRPL</v>
      </c>
      <c r="G55" s="1" t="str">
        <f>CLEAN("MANITOWOC")</f>
        <v>MANITOWOC</v>
      </c>
      <c r="H55" s="1" t="str">
        <f>CLEAN("CTH")</f>
        <v>CTH</v>
      </c>
      <c r="I55" s="1" t="str">
        <f>CLEAN("JJ")</f>
        <v>JJ</v>
      </c>
      <c r="J55" s="1" t="str">
        <f>CLEAN("T ROCKLAND  CTH JJ")</f>
        <v>T ROCKLAND  CTH JJ</v>
      </c>
      <c r="K55" s="1" t="str">
        <f>CLEAN("MANITOWOC RIVER BRIDGE")</f>
        <v>MANITOWOC RIVER BRIDGE</v>
      </c>
      <c r="L55" s="1" t="str">
        <f>CLEAN("CONST/BRRPL B-36-0019")</f>
        <v>CONST/BRRPL B-36-0019</v>
      </c>
      <c r="M55" s="1">
        <v>0</v>
      </c>
    </row>
    <row r="56" spans="1:13" x14ac:dyDescent="0.2">
      <c r="A56" s="1" t="str">
        <f>CLEAN("9032-02-71")</f>
        <v>9032-02-71</v>
      </c>
      <c r="B56" s="1" t="str">
        <f>CLEAN("206")</f>
        <v>206</v>
      </c>
      <c r="C56" s="1" t="str">
        <f>CLEAN("11/01/2021")</f>
        <v>11/01/2021</v>
      </c>
      <c r="D56" s="1">
        <v>2022</v>
      </c>
      <c r="E56" s="1" t="str">
        <f t="shared" si="14"/>
        <v>03/08/2022</v>
      </c>
      <c r="F56" s="1" t="str">
        <f>CLEAN("RCND10")</f>
        <v>RCND10</v>
      </c>
      <c r="G56" s="1" t="str">
        <f>CLEAN("OCONTO")</f>
        <v>OCONTO</v>
      </c>
      <c r="H56" s="1" t="str">
        <f>CLEAN("CTH")</f>
        <v>CTH</v>
      </c>
      <c r="I56" s="1" t="str">
        <f>CLEAN("I")</f>
        <v>I</v>
      </c>
      <c r="J56" s="1" t="str">
        <f>CLEAN("T STILES  CTH I")</f>
        <v>T STILES  CTH I</v>
      </c>
      <c r="K56" s="1" t="str">
        <f>CLEAN("HUSKY LANE - FULLER LANE")</f>
        <v>HUSKY LANE - FULLER LANE</v>
      </c>
      <c r="L56" s="1" t="str">
        <f>CLEAN("DESIGN/RECONDITION")</f>
        <v>DESIGN/RECONDITION</v>
      </c>
      <c r="M56" s="1">
        <v>2.57</v>
      </c>
    </row>
    <row r="57" spans="1:13" x14ac:dyDescent="0.2">
      <c r="A57" s="1" t="str">
        <f>CLEAN("9088-05-71")</f>
        <v>9088-05-71</v>
      </c>
      <c r="B57" s="1" t="str">
        <f>CLEAN("206")</f>
        <v>206</v>
      </c>
      <c r="C57" s="1" t="str">
        <f>CLEAN("--/--/----")</f>
        <v>--/--/----</v>
      </c>
      <c r="D57" s="1">
        <v>2022</v>
      </c>
      <c r="E57" s="1" t="str">
        <f t="shared" si="14"/>
        <v>03/08/2022</v>
      </c>
      <c r="F57" s="1" t="str">
        <f>CLEAN("RCND10")</f>
        <v>RCND10</v>
      </c>
      <c r="G57" s="1" t="str">
        <f>CLEAN("OCONTO")</f>
        <v>OCONTO</v>
      </c>
      <c r="H57" s="1" t="str">
        <f>CLEAN("CTH")</f>
        <v>CTH</v>
      </c>
      <c r="I57" s="1" t="str">
        <f>CLEAN("B")</f>
        <v>B</v>
      </c>
      <c r="J57" s="1" t="str">
        <f>CLEAN("T SPRUCE  CTH B")</f>
        <v>T SPRUCE  CTH B</v>
      </c>
      <c r="K57" s="1" t="str">
        <f>CLEAN("CTH M - CTH G")</f>
        <v>CTH M - CTH G</v>
      </c>
      <c r="L57" s="1" t="str">
        <f>CLEAN("CONST/RECOND")</f>
        <v>CONST/RECOND</v>
      </c>
      <c r="M57" s="1">
        <v>1.5</v>
      </c>
    </row>
    <row r="58" spans="1:13" x14ac:dyDescent="0.2">
      <c r="A58" s="1" t="str">
        <f>CLEAN("4208-05-71")</f>
        <v>4208-05-71</v>
      </c>
      <c r="B58" s="1" t="str">
        <f>CLEAN("205")</f>
        <v>205</v>
      </c>
      <c r="C58" s="1" t="str">
        <f>CLEAN("11/01/2021")</f>
        <v>11/01/2021</v>
      </c>
      <c r="D58" s="1">
        <v>2022</v>
      </c>
      <c r="E58" s="1" t="str">
        <f t="shared" si="14"/>
        <v>03/08/2022</v>
      </c>
      <c r="F58" s="1" t="str">
        <f>CLEAN("BRRPL")</f>
        <v>BRRPL</v>
      </c>
      <c r="G58" s="1" t="str">
        <f>CLEAN("SHEBOYGAN")</f>
        <v>SHEBOYGAN</v>
      </c>
      <c r="H58" s="1" t="str">
        <f>CLEAN("LOC")</f>
        <v>LOC</v>
      </c>
      <c r="I58" s="1" t="str">
        <f>CLEAN("STR")</f>
        <v>STR</v>
      </c>
      <c r="J58" s="1" t="str">
        <f>CLEAN("T GREENBUSH  CENTER ROAD")</f>
        <v>T GREENBUSH  CENTER ROAD</v>
      </c>
      <c r="K58" s="1" t="str">
        <f>CLEAN("MULLET RIVER BRIDGE")</f>
        <v>MULLET RIVER BRIDGE</v>
      </c>
      <c r="L58" s="1" t="str">
        <f>CLEAN("CONST/BRRPL P-59-0101")</f>
        <v>CONST/BRRPL P-59-0101</v>
      </c>
      <c r="M58" s="1">
        <v>0</v>
      </c>
    </row>
    <row r="59" spans="1:13" x14ac:dyDescent="0.2">
      <c r="A59" s="1" t="str">
        <f>CLEAN("4995-03-02")</f>
        <v>4995-03-02</v>
      </c>
      <c r="B59" s="1" t="str">
        <f>CLEAN("290")</f>
        <v>290</v>
      </c>
      <c r="C59" s="1" t="str">
        <f>CLEAN("08/01/2022")</f>
        <v>08/01/2022</v>
      </c>
      <c r="D59" s="1">
        <v>2023</v>
      </c>
      <c r="E59" s="1" t="str">
        <f>CLEAN("01/10/2023")</f>
        <v>01/10/2023</v>
      </c>
      <c r="F59" s="1" t="str">
        <f>CLEAN("MISC")</f>
        <v>MISC</v>
      </c>
      <c r="G59" s="1" t="str">
        <f>CLEAN("SHEBOYGAN")</f>
        <v>SHEBOYGAN</v>
      </c>
      <c r="H59" s="1" t="str">
        <f>CLEAN("NON")</f>
        <v>NON</v>
      </c>
      <c r="I59" s="1" t="str">
        <f>CLEAN("HWY")</f>
        <v>HWY</v>
      </c>
      <c r="J59" s="1" t="str">
        <f>CLEAN("CITY OF PLYMOUTH")</f>
        <v>CITY OF PLYMOUTH</v>
      </c>
      <c r="K59" s="1" t="str">
        <f>CLEAN("SIDEWALK GAP IMPROVEMENTS")</f>
        <v>SIDEWALK GAP IMPROVEMENTS</v>
      </c>
      <c r="L59" s="1" t="str">
        <f>CLEAN("CONST/ MISC-SIDEWALK IMPROVEMENT")</f>
        <v>CONST/ MISC-SIDEWALK IMPROVEMENT</v>
      </c>
      <c r="M59" s="1">
        <v>0.55200000000000005</v>
      </c>
    </row>
  </sheetData>
  <sortState ref="A2:AT59">
    <sortCondition ref="E2:E59"/>
    <sortCondition ref="G2:G59"/>
    <sortCondition ref="A2:A59"/>
  </sortState>
  <pageMargins left="0.7" right="0.7" top="0.75" bottom="0.75" header="0.3" footer="0.3"/>
  <pageSetup scale="75" orientation="landscape" r:id="rId1"/>
  <headerFooter>
    <oddHeader>&amp;C&amp;14DTSD Northeast Region
6 Year Program - Local&amp;R&amp;9Data - 01/24-2020</oddHeader>
    <oddFooter>&amp;C&amp;N of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bb5a3f6e397b1690cf6564841654f2a0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5705412253ba870b06423a56f97807aa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ADDC28-C819-45EF-BC5F-B11745304B59}"/>
</file>

<file path=customXml/itemProps2.xml><?xml version="1.0" encoding="utf-8"?>
<ds:datastoreItem xmlns:ds="http://schemas.openxmlformats.org/officeDocument/2006/customXml" ds:itemID="{A1CF87D1-F3AE-4C26-97FB-5028A3347407}"/>
</file>

<file path=customXml/itemProps3.xml><?xml version="1.0" encoding="utf-8"?>
<ds:datastoreItem xmlns:ds="http://schemas.openxmlformats.org/officeDocument/2006/customXml" ds:itemID="{1D4F4B58-E6D9-4C8C-88EA-8F92C1841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report!Print_Titles</vt:lpstr>
    </vt:vector>
  </TitlesOfParts>
  <Manager>WisDOT Utility Unit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 REgion - 6  Year Local Program List</dc:title>
  <dc:creator>WisDOT</dc:creator>
  <cp:lastModifiedBy>BRUNS, CONNIE J</cp:lastModifiedBy>
  <cp:lastPrinted>2020-01-24T16:36:10Z</cp:lastPrinted>
  <dcterms:created xsi:type="dcterms:W3CDTF">2020-01-24T16:36:42Z</dcterms:created>
  <dcterms:modified xsi:type="dcterms:W3CDTF">2020-01-28T19:53:15Z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