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OTS5P\Downloads\"/>
    </mc:Choice>
  </mc:AlternateContent>
  <xr:revisionPtr revIDLastSave="0" documentId="13_ncr:1_{E89C67EA-4F8C-4C96-93CB-AF2F0EDBE99B}" xr6:coauthVersionLast="47" xr6:coauthVersionMax="47" xr10:uidLastSave="{00000000-0000-0000-0000-000000000000}"/>
  <bookViews>
    <workbookView xWindow="-120" yWindow="-120" windowWidth="25440" windowHeight="15390" tabRatio="714" xr2:uid="{00000000-000D-0000-FFFF-FFFF00000000}"/>
  </bookViews>
  <sheets>
    <sheet name="Hourly Distribution" sheetId="33" r:id="rId1"/>
    <sheet name="Distribution Summary" sheetId="34" state="hidden" r:id="rId2"/>
    <sheet name="110-Light Industrial (ITE)" sheetId="35" state="hidden" r:id="rId3"/>
    <sheet name="110 - Light Industrial (WisDOT)" sheetId="3" state="hidden" r:id="rId4"/>
    <sheet name="140-Manufacturing (ITE)" sheetId="36" state="hidden" r:id="rId5"/>
    <sheet name="140 - Manufacturing (WisDOT)" sheetId="4" state="hidden" r:id="rId6"/>
    <sheet name="154 - High-Cube Warehouse (ITE)" sheetId="21" state="hidden" r:id="rId7"/>
    <sheet name="210-Single Family (ITE)" sheetId="37" state="hidden" r:id="rId8"/>
    <sheet name="210 - Single Family (WisDOT)" sheetId="1" state="hidden" r:id="rId9"/>
    <sheet name="220-MultiFam HousingLR (ITE)" sheetId="38" state="hidden" r:id="rId10"/>
    <sheet name="220-MultiFam HousingLR (WisDOT)" sheetId="10" state="hidden" r:id="rId11"/>
    <sheet name="430 - Golf Course (ITE)" sheetId="22" state="hidden" r:id="rId12"/>
    <sheet name="&lt;445 - Movie Theater (WisDOT)&gt;" sheetId="13" state="hidden" r:id="rId13"/>
    <sheet name="495-Rec. Center (ITE)" sheetId="39" state="hidden" r:id="rId14"/>
    <sheet name="495 - Rec. Center (WisDOT)" sheetId="12" state="hidden" r:id="rId15"/>
    <sheet name="525-High School (ITE)" sheetId="40" state="hidden" r:id="rId16"/>
    <sheet name="525 - High School (WisDOT)" sheetId="2" state="hidden" r:id="rId17"/>
    <sheet name="565 - Day Care (ITE)" sheetId="24" state="hidden" r:id="rId18"/>
    <sheet name="710-General Office (ITE)" sheetId="41" state="hidden" r:id="rId19"/>
    <sheet name="&lt;710 - General Office (WisDOT)&gt;" sheetId="17" state="hidden" r:id="rId20"/>
    <sheet name="750 - Office Park (WisDOT)" sheetId="5" state="hidden" r:id="rId21"/>
    <sheet name="813 - Discount Superstore (ITE)" sheetId="25" state="hidden" r:id="rId22"/>
    <sheet name="815 - Discount Store (ITE)" sheetId="26" state="hidden" r:id="rId23"/>
    <sheet name="820 - Shopping Center (ITE)" sheetId="27" state="hidden" r:id="rId24"/>
    <sheet name="820 - Shopping Center, AM (WisD" sheetId="11" state="hidden" r:id="rId25"/>
    <sheet name="840-Car Dealership New (ITE)" sheetId="42" state="hidden" r:id="rId26"/>
    <sheet name="&lt;841 - Car Dealership (WisDOT)&gt;" sheetId="18" state="hidden" r:id="rId27"/>
    <sheet name="850-Supermarket (ITE)" sheetId="44" state="hidden" r:id="rId28"/>
    <sheet name="850 - Supermarket (WisDOT)" sheetId="6" state="hidden" r:id="rId29"/>
    <sheet name="857 - Discount Club (ITE)" sheetId="29" state="hidden" r:id="rId30"/>
    <sheet name="&lt;857 - Discount Club (WisDOT)&gt;" sheetId="15" state="hidden" r:id="rId31"/>
    <sheet name="862-Home Improvement (ITE)" sheetId="45" state="hidden" r:id="rId32"/>
    <sheet name="862 - Home Improvement (WisDOT)" sheetId="9" state="hidden" r:id="rId33"/>
    <sheet name="875-Department Store (ITE)" sheetId="48" state="hidden" r:id="rId34"/>
    <sheet name="932 - HTSD Restaurant (ITE)" sheetId="31" state="hidden" r:id="rId35"/>
    <sheet name="934 - Fast-Food w Drive (ITE)" sheetId="32" state="hidden" r:id="rId36"/>
    <sheet name="&lt;934 - Fast Food (WisDOT)&gt;" sheetId="14" state="hidden" r:id="rId37"/>
    <sheet name="945-Gas Station 2-4k (ITE)" sheetId="46" state="hidden" r:id="rId38"/>
    <sheet name="945-Gas Station 4-10k (ITE)" sheetId="47" state="hidden" r:id="rId39"/>
    <sheet name="&lt;945 - Gas Station (WisDOT)&gt;" sheetId="20" state="hidden" r:id="rId40"/>
    <sheet name="Medical (WisDOT)" sheetId="8" state="hidden" r:id="rId41"/>
    <sheet name="Restaurants (WisDOT)" sheetId="7" state="hidden" r:id="rId42"/>
    <sheet name="&lt;Aldi (WisDOT)&gt;" sheetId="19" state="hidden" r:id="rId43"/>
    <sheet name="&lt;WalMart-Menards (WisDOT)&gt;" sheetId="16" state="hidden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2" i="34" l="1"/>
  <c r="U113" i="34"/>
  <c r="U114" i="34"/>
  <c r="U115" i="34"/>
  <c r="U116" i="34"/>
  <c r="U117" i="34"/>
  <c r="U118" i="34"/>
  <c r="U119" i="34"/>
  <c r="U120" i="34"/>
  <c r="U121" i="34"/>
  <c r="U122" i="34"/>
  <c r="U123" i="34"/>
  <c r="U124" i="34"/>
  <c r="U125" i="34"/>
  <c r="U126" i="34"/>
  <c r="U127" i="34"/>
  <c r="U93" i="34"/>
  <c r="U94" i="34"/>
  <c r="U95" i="34"/>
  <c r="U96" i="34"/>
  <c r="U97" i="34"/>
  <c r="U98" i="34"/>
  <c r="U99" i="34"/>
  <c r="U100" i="34"/>
  <c r="U101" i="34"/>
  <c r="U102" i="34"/>
  <c r="U103" i="34"/>
  <c r="U104" i="34"/>
  <c r="U105" i="34"/>
  <c r="U106" i="34"/>
  <c r="U107" i="34"/>
  <c r="U108" i="34"/>
  <c r="U111" i="34"/>
  <c r="U92" i="34"/>
  <c r="U26" i="34"/>
  <c r="U27" i="34"/>
  <c r="U28" i="34"/>
  <c r="U29" i="34"/>
  <c r="U30" i="34"/>
  <c r="U31" i="34"/>
  <c r="U32" i="34"/>
  <c r="U33" i="34"/>
  <c r="U34" i="34"/>
  <c r="U35" i="34"/>
  <c r="U36" i="34"/>
  <c r="U37" i="34"/>
  <c r="U38" i="34"/>
  <c r="U39" i="34"/>
  <c r="U40" i="34"/>
  <c r="U41" i="34"/>
  <c r="U25" i="34"/>
  <c r="U7" i="34"/>
  <c r="U8" i="34"/>
  <c r="U9" i="34"/>
  <c r="U10" i="34"/>
  <c r="U11" i="34"/>
  <c r="U12" i="34"/>
  <c r="U13" i="34"/>
  <c r="U14" i="34"/>
  <c r="U15" i="34"/>
  <c r="U16" i="34"/>
  <c r="U17" i="34"/>
  <c r="U18" i="34"/>
  <c r="U19" i="34"/>
  <c r="U20" i="34"/>
  <c r="U21" i="34"/>
  <c r="U22" i="34"/>
  <c r="U6" i="34"/>
  <c r="F24" i="48"/>
  <c r="E24" i="48"/>
  <c r="D24" i="48"/>
  <c r="C24" i="48"/>
  <c r="Y26" i="34" l="1"/>
  <c r="Y27" i="34"/>
  <c r="Y28" i="34"/>
  <c r="Y29" i="34"/>
  <c r="Y30" i="34"/>
  <c r="Y31" i="34"/>
  <c r="Y32" i="34"/>
  <c r="Y33" i="34"/>
  <c r="Y34" i="34"/>
  <c r="Y35" i="34"/>
  <c r="Y36" i="34"/>
  <c r="Y37" i="34"/>
  <c r="Y38" i="34"/>
  <c r="Y39" i="34"/>
  <c r="Y40" i="34"/>
  <c r="Y41" i="34"/>
  <c r="Y7" i="34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5" i="34"/>
  <c r="Y6" i="34"/>
  <c r="X26" i="34"/>
  <c r="X27" i="34"/>
  <c r="X28" i="34"/>
  <c r="X29" i="34"/>
  <c r="X30" i="34"/>
  <c r="X31" i="34"/>
  <c r="X32" i="34"/>
  <c r="X33" i="34"/>
  <c r="X34" i="34"/>
  <c r="X35" i="34"/>
  <c r="X36" i="34"/>
  <c r="X37" i="34"/>
  <c r="X38" i="34"/>
  <c r="X39" i="34"/>
  <c r="X40" i="34"/>
  <c r="X41" i="34"/>
  <c r="X25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6" i="34"/>
  <c r="Y69" i="34"/>
  <c r="Y70" i="34"/>
  <c r="Y71" i="34"/>
  <c r="Y72" i="34"/>
  <c r="Y73" i="34"/>
  <c r="Y74" i="34"/>
  <c r="Y75" i="34"/>
  <c r="Y76" i="34"/>
  <c r="Y77" i="34"/>
  <c r="Y78" i="34"/>
  <c r="Y79" i="34"/>
  <c r="Y80" i="34"/>
  <c r="Y81" i="34"/>
  <c r="Y68" i="34"/>
  <c r="Y50" i="34"/>
  <c r="Y51" i="34"/>
  <c r="Y52" i="34"/>
  <c r="Y53" i="34"/>
  <c r="Y54" i="34"/>
  <c r="Y55" i="34"/>
  <c r="Y56" i="34"/>
  <c r="Y57" i="34"/>
  <c r="Y58" i="34"/>
  <c r="Y59" i="34"/>
  <c r="Y60" i="34"/>
  <c r="Y61" i="34"/>
  <c r="Y62" i="34"/>
  <c r="Y49" i="34"/>
  <c r="D24" i="47"/>
  <c r="C24" i="47"/>
  <c r="D24" i="46"/>
  <c r="C24" i="46"/>
  <c r="W198" i="34"/>
  <c r="W199" i="34"/>
  <c r="W200" i="34"/>
  <c r="W201" i="34"/>
  <c r="W202" i="34"/>
  <c r="W203" i="34"/>
  <c r="W204" i="34"/>
  <c r="W205" i="34"/>
  <c r="W206" i="34"/>
  <c r="W207" i="34"/>
  <c r="W208" i="34"/>
  <c r="W209" i="34"/>
  <c r="W210" i="34"/>
  <c r="W211" i="34"/>
  <c r="W212" i="34"/>
  <c r="W213" i="34"/>
  <c r="W197" i="34"/>
  <c r="W179" i="34"/>
  <c r="W180" i="34"/>
  <c r="W181" i="34"/>
  <c r="W182" i="34"/>
  <c r="W183" i="34"/>
  <c r="W184" i="34"/>
  <c r="W185" i="34"/>
  <c r="W186" i="34"/>
  <c r="W187" i="34"/>
  <c r="W188" i="34"/>
  <c r="W189" i="34"/>
  <c r="W190" i="34"/>
  <c r="W191" i="34"/>
  <c r="W192" i="34"/>
  <c r="W193" i="34"/>
  <c r="W194" i="34"/>
  <c r="W178" i="34"/>
  <c r="W112" i="34"/>
  <c r="W113" i="34"/>
  <c r="W114" i="34"/>
  <c r="W115" i="34"/>
  <c r="W116" i="34"/>
  <c r="W117" i="34"/>
  <c r="W118" i="34"/>
  <c r="W119" i="34"/>
  <c r="W120" i="34"/>
  <c r="W121" i="34"/>
  <c r="W122" i="34"/>
  <c r="W123" i="34"/>
  <c r="W124" i="34"/>
  <c r="W125" i="34"/>
  <c r="W126" i="34"/>
  <c r="W127" i="34"/>
  <c r="W111" i="34"/>
  <c r="W93" i="34"/>
  <c r="W94" i="34"/>
  <c r="W95" i="34"/>
  <c r="W96" i="34"/>
  <c r="W97" i="34"/>
  <c r="W98" i="34"/>
  <c r="W99" i="34"/>
  <c r="W100" i="34"/>
  <c r="W101" i="34"/>
  <c r="W102" i="34"/>
  <c r="W103" i="34"/>
  <c r="W104" i="34"/>
  <c r="W105" i="34"/>
  <c r="W106" i="34"/>
  <c r="W107" i="34"/>
  <c r="W108" i="34"/>
  <c r="W92" i="34"/>
  <c r="H24" i="32"/>
  <c r="G24" i="32"/>
  <c r="F24" i="32"/>
  <c r="E24" i="32"/>
  <c r="T199" i="34"/>
  <c r="T200" i="34"/>
  <c r="T201" i="34"/>
  <c r="T202" i="34"/>
  <c r="T203" i="34"/>
  <c r="T204" i="34"/>
  <c r="T205" i="34"/>
  <c r="T206" i="34"/>
  <c r="T207" i="34"/>
  <c r="T208" i="34"/>
  <c r="T209" i="34"/>
  <c r="T180" i="34"/>
  <c r="T181" i="34"/>
  <c r="T182" i="34"/>
  <c r="T183" i="34"/>
  <c r="T184" i="34"/>
  <c r="T185" i="34"/>
  <c r="T186" i="34"/>
  <c r="T187" i="34"/>
  <c r="T188" i="34"/>
  <c r="T189" i="34"/>
  <c r="T190" i="34"/>
  <c r="T112" i="34"/>
  <c r="T113" i="34"/>
  <c r="T114" i="34"/>
  <c r="T115" i="34"/>
  <c r="T116" i="34"/>
  <c r="T117" i="34"/>
  <c r="T118" i="34"/>
  <c r="T119" i="34"/>
  <c r="T120" i="34"/>
  <c r="T121" i="34"/>
  <c r="T122" i="34"/>
  <c r="T123" i="34"/>
  <c r="T124" i="34"/>
  <c r="T125" i="34"/>
  <c r="T126" i="34"/>
  <c r="T111" i="34"/>
  <c r="T93" i="34"/>
  <c r="T94" i="34"/>
  <c r="T95" i="34"/>
  <c r="T96" i="34"/>
  <c r="T97" i="34"/>
  <c r="T98" i="34"/>
  <c r="T99" i="34"/>
  <c r="T100" i="34"/>
  <c r="T101" i="34"/>
  <c r="T102" i="34"/>
  <c r="T103" i="34"/>
  <c r="T104" i="34"/>
  <c r="T105" i="34"/>
  <c r="T106" i="34"/>
  <c r="T107" i="34"/>
  <c r="T92" i="34"/>
  <c r="T26" i="34"/>
  <c r="T27" i="34"/>
  <c r="T28" i="34"/>
  <c r="T29" i="34"/>
  <c r="T30" i="34"/>
  <c r="T31" i="34"/>
  <c r="T32" i="34"/>
  <c r="T33" i="34"/>
  <c r="T34" i="34"/>
  <c r="T35" i="34"/>
  <c r="T36" i="34"/>
  <c r="T37" i="34"/>
  <c r="T38" i="34"/>
  <c r="T39" i="34"/>
  <c r="T40" i="34"/>
  <c r="T25" i="34"/>
  <c r="T7" i="34"/>
  <c r="T8" i="34"/>
  <c r="T9" i="34"/>
  <c r="T10" i="34"/>
  <c r="T11" i="34"/>
  <c r="T12" i="34"/>
  <c r="T13" i="34"/>
  <c r="T14" i="34"/>
  <c r="T15" i="34"/>
  <c r="T16" i="34"/>
  <c r="T17" i="34"/>
  <c r="T18" i="34"/>
  <c r="T19" i="34"/>
  <c r="T20" i="34"/>
  <c r="T21" i="34"/>
  <c r="T6" i="34"/>
  <c r="H24" i="45"/>
  <c r="G24" i="45"/>
  <c r="F24" i="45"/>
  <c r="E24" i="45"/>
  <c r="D24" i="45"/>
  <c r="C24" i="45"/>
  <c r="R198" i="34"/>
  <c r="R199" i="34"/>
  <c r="R200" i="34"/>
  <c r="R201" i="34"/>
  <c r="R202" i="34"/>
  <c r="R203" i="34"/>
  <c r="R204" i="34"/>
  <c r="R205" i="34"/>
  <c r="R206" i="34"/>
  <c r="R207" i="34"/>
  <c r="R208" i="34"/>
  <c r="R209" i="34"/>
  <c r="R210" i="34"/>
  <c r="R211" i="34"/>
  <c r="R212" i="34"/>
  <c r="R213" i="34"/>
  <c r="R197" i="34"/>
  <c r="R179" i="34"/>
  <c r="R180" i="34"/>
  <c r="R181" i="34"/>
  <c r="R182" i="34"/>
  <c r="R183" i="34"/>
  <c r="R184" i="34"/>
  <c r="R185" i="34"/>
  <c r="R186" i="34"/>
  <c r="R187" i="34"/>
  <c r="R188" i="34"/>
  <c r="R189" i="34"/>
  <c r="R190" i="34"/>
  <c r="R191" i="34"/>
  <c r="R192" i="34"/>
  <c r="R193" i="34"/>
  <c r="R194" i="34"/>
  <c r="R178" i="34"/>
  <c r="R112" i="34"/>
  <c r="R113" i="34"/>
  <c r="R114" i="34"/>
  <c r="R115" i="34"/>
  <c r="R116" i="34"/>
  <c r="R117" i="34"/>
  <c r="R118" i="34"/>
  <c r="R119" i="34"/>
  <c r="R120" i="34"/>
  <c r="R121" i="34"/>
  <c r="R122" i="34"/>
  <c r="R123" i="34"/>
  <c r="R124" i="34"/>
  <c r="R125" i="34"/>
  <c r="R126" i="34"/>
  <c r="R127" i="34"/>
  <c r="R111" i="34"/>
  <c r="R93" i="34"/>
  <c r="R94" i="34"/>
  <c r="R95" i="34"/>
  <c r="R96" i="34"/>
  <c r="R97" i="34"/>
  <c r="R98" i="34"/>
  <c r="R99" i="34"/>
  <c r="R100" i="34"/>
  <c r="R101" i="34"/>
  <c r="R102" i="34"/>
  <c r="R103" i="34"/>
  <c r="R104" i="34"/>
  <c r="R105" i="34"/>
  <c r="R106" i="34"/>
  <c r="R107" i="34"/>
  <c r="R108" i="34"/>
  <c r="R92" i="34"/>
  <c r="R26" i="34"/>
  <c r="R27" i="34"/>
  <c r="R28" i="34"/>
  <c r="R29" i="34"/>
  <c r="R30" i="34"/>
  <c r="R31" i="34"/>
  <c r="R32" i="34"/>
  <c r="R33" i="34"/>
  <c r="R34" i="34"/>
  <c r="R35" i="34"/>
  <c r="R36" i="34"/>
  <c r="R37" i="34"/>
  <c r="R38" i="34"/>
  <c r="R39" i="34"/>
  <c r="R40" i="34"/>
  <c r="R41" i="34"/>
  <c r="R25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6" i="34"/>
  <c r="H24" i="44"/>
  <c r="G24" i="44"/>
  <c r="F24" i="44"/>
  <c r="E24" i="44"/>
  <c r="D24" i="44"/>
  <c r="C24" i="44"/>
  <c r="Q26" i="34"/>
  <c r="Q27" i="34"/>
  <c r="Q28" i="34"/>
  <c r="Q29" i="34"/>
  <c r="Q30" i="34"/>
  <c r="Q31" i="34"/>
  <c r="Q32" i="34"/>
  <c r="Q33" i="34"/>
  <c r="Q34" i="34"/>
  <c r="Q35" i="34"/>
  <c r="Q36" i="34"/>
  <c r="Q37" i="34"/>
  <c r="Q38" i="34"/>
  <c r="Q39" i="34"/>
  <c r="Q40" i="34"/>
  <c r="Q41" i="34"/>
  <c r="Q25" i="34"/>
  <c r="Q7" i="34"/>
  <c r="Q8" i="34"/>
  <c r="Q9" i="34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6" i="34"/>
  <c r="Q69" i="34"/>
  <c r="Q70" i="34"/>
  <c r="Q71" i="34"/>
  <c r="Q72" i="34"/>
  <c r="Q73" i="34"/>
  <c r="Q74" i="34"/>
  <c r="Q75" i="34"/>
  <c r="Q76" i="34"/>
  <c r="Q77" i="34"/>
  <c r="Q78" i="34"/>
  <c r="Q79" i="34"/>
  <c r="Q68" i="34"/>
  <c r="Q50" i="34"/>
  <c r="Q51" i="34"/>
  <c r="Q52" i="34"/>
  <c r="Q53" i="34"/>
  <c r="Q54" i="34"/>
  <c r="Q55" i="34"/>
  <c r="Q56" i="34"/>
  <c r="Q57" i="34"/>
  <c r="Q58" i="34"/>
  <c r="Q59" i="34"/>
  <c r="Q60" i="34"/>
  <c r="Q49" i="34"/>
  <c r="D24" i="42"/>
  <c r="C24" i="42"/>
  <c r="O198" i="34"/>
  <c r="O199" i="34"/>
  <c r="O200" i="34"/>
  <c r="O201" i="34"/>
  <c r="O202" i="34"/>
  <c r="O203" i="34"/>
  <c r="O204" i="34"/>
  <c r="O205" i="34"/>
  <c r="O206" i="34"/>
  <c r="O207" i="34"/>
  <c r="O208" i="34"/>
  <c r="O209" i="34"/>
  <c r="O210" i="34"/>
  <c r="O211" i="34"/>
  <c r="O212" i="34"/>
  <c r="O213" i="34"/>
  <c r="O179" i="34"/>
  <c r="O180" i="34"/>
  <c r="O181" i="34"/>
  <c r="O182" i="34"/>
  <c r="O183" i="34"/>
  <c r="O184" i="34"/>
  <c r="O185" i="34"/>
  <c r="O186" i="34"/>
  <c r="O187" i="34"/>
  <c r="O188" i="34"/>
  <c r="O189" i="34"/>
  <c r="O190" i="34"/>
  <c r="O191" i="34"/>
  <c r="O192" i="34"/>
  <c r="O193" i="34"/>
  <c r="O194" i="34"/>
  <c r="O197" i="34"/>
  <c r="O178" i="34"/>
  <c r="H24" i="26"/>
  <c r="G24" i="26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5" i="34"/>
  <c r="L6" i="34"/>
  <c r="D24" i="41"/>
  <c r="C24" i="41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5" i="34"/>
  <c r="J6" i="34"/>
  <c r="D24" i="40"/>
  <c r="C24" i="40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5" i="34"/>
  <c r="I6" i="34"/>
  <c r="D24" i="39"/>
  <c r="C24" i="39"/>
  <c r="F26" i="34" l="1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5" i="34"/>
  <c r="F6" i="34"/>
  <c r="D24" i="38"/>
  <c r="C24" i="38"/>
  <c r="E198" i="34"/>
  <c r="E199" i="34"/>
  <c r="E200" i="34"/>
  <c r="E201" i="34"/>
  <c r="E202" i="34"/>
  <c r="E203" i="34"/>
  <c r="E204" i="34"/>
  <c r="E205" i="34"/>
  <c r="E206" i="34"/>
  <c r="E207" i="34"/>
  <c r="E208" i="34"/>
  <c r="E209" i="34"/>
  <c r="E210" i="34"/>
  <c r="E211" i="34"/>
  <c r="E212" i="34"/>
  <c r="E213" i="34"/>
  <c r="E179" i="34"/>
  <c r="E180" i="34"/>
  <c r="E181" i="34"/>
  <c r="E182" i="34"/>
  <c r="E183" i="34"/>
  <c r="E184" i="34"/>
  <c r="E185" i="34"/>
  <c r="E186" i="34"/>
  <c r="E187" i="34"/>
  <c r="E188" i="34"/>
  <c r="E189" i="34"/>
  <c r="E190" i="34"/>
  <c r="E191" i="34"/>
  <c r="E192" i="34"/>
  <c r="E193" i="34"/>
  <c r="E194" i="34"/>
  <c r="E197" i="34"/>
  <c r="E178" i="34"/>
  <c r="E112" i="34"/>
  <c r="E113" i="34"/>
  <c r="E114" i="34"/>
  <c r="E115" i="34"/>
  <c r="E116" i="34"/>
  <c r="E117" i="34"/>
  <c r="E118" i="34"/>
  <c r="E119" i="34"/>
  <c r="E120" i="34"/>
  <c r="E121" i="34"/>
  <c r="E122" i="34"/>
  <c r="E123" i="34"/>
  <c r="E124" i="34"/>
  <c r="E125" i="34"/>
  <c r="E126" i="34"/>
  <c r="E127" i="34"/>
  <c r="E93" i="34"/>
  <c r="E94" i="34"/>
  <c r="E95" i="34"/>
  <c r="E96" i="34"/>
  <c r="E97" i="34"/>
  <c r="E98" i="34"/>
  <c r="E99" i="34"/>
  <c r="E100" i="34"/>
  <c r="E101" i="34"/>
  <c r="E102" i="34"/>
  <c r="E103" i="34"/>
  <c r="E104" i="34"/>
  <c r="E105" i="34"/>
  <c r="E106" i="34"/>
  <c r="E107" i="34"/>
  <c r="E108" i="34"/>
  <c r="E111" i="34"/>
  <c r="E92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5" i="34"/>
  <c r="E6" i="34"/>
  <c r="H24" i="37"/>
  <c r="G24" i="37"/>
  <c r="F24" i="37"/>
  <c r="E24" i="37"/>
  <c r="D24" i="37"/>
  <c r="C24" i="37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5" i="34"/>
  <c r="C6" i="34"/>
  <c r="D24" i="36"/>
  <c r="C24" i="36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25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6" i="34"/>
  <c r="D24" i="35"/>
  <c r="C24" i="35"/>
  <c r="U12" i="33" l="1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11" i="33"/>
  <c r="T12" i="33"/>
  <c r="T13" i="33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26" i="33"/>
  <c r="R27" i="33"/>
  <c r="R11" i="33"/>
  <c r="Q12" i="33"/>
  <c r="Q13" i="33"/>
  <c r="Q14" i="33"/>
  <c r="Q15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11" i="33"/>
  <c r="G23" i="33"/>
  <c r="G24" i="33"/>
  <c r="G25" i="33"/>
  <c r="G26" i="33"/>
  <c r="G27" i="33"/>
  <c r="F27" i="33"/>
  <c r="F26" i="33"/>
  <c r="F25" i="33"/>
  <c r="F24" i="33"/>
  <c r="F23" i="33"/>
  <c r="V198" i="34"/>
  <c r="V199" i="34"/>
  <c r="V200" i="34"/>
  <c r="V201" i="34"/>
  <c r="V202" i="34"/>
  <c r="V203" i="34"/>
  <c r="V204" i="34"/>
  <c r="V205" i="34"/>
  <c r="V206" i="34"/>
  <c r="V207" i="34"/>
  <c r="V208" i="34"/>
  <c r="V209" i="34"/>
  <c r="V210" i="34"/>
  <c r="V211" i="34"/>
  <c r="V212" i="34"/>
  <c r="V213" i="34"/>
  <c r="V197" i="34"/>
  <c r="V179" i="34"/>
  <c r="V180" i="34"/>
  <c r="V181" i="34"/>
  <c r="V182" i="34"/>
  <c r="V183" i="34"/>
  <c r="V184" i="34"/>
  <c r="V185" i="34"/>
  <c r="V186" i="34"/>
  <c r="V187" i="34"/>
  <c r="V188" i="34"/>
  <c r="V189" i="34"/>
  <c r="V190" i="34"/>
  <c r="V191" i="34"/>
  <c r="V192" i="34"/>
  <c r="V193" i="34"/>
  <c r="V194" i="34"/>
  <c r="V178" i="34"/>
  <c r="S198" i="34"/>
  <c r="S199" i="34"/>
  <c r="S200" i="34"/>
  <c r="S201" i="34"/>
  <c r="S202" i="34"/>
  <c r="S203" i="34"/>
  <c r="S204" i="34"/>
  <c r="S205" i="34"/>
  <c r="S206" i="34"/>
  <c r="S207" i="34"/>
  <c r="S208" i="34"/>
  <c r="S209" i="34"/>
  <c r="S210" i="34"/>
  <c r="S211" i="34"/>
  <c r="S212" i="34"/>
  <c r="S213" i="34"/>
  <c r="S197" i="34"/>
  <c r="S179" i="34"/>
  <c r="S180" i="34"/>
  <c r="S181" i="34"/>
  <c r="S182" i="34"/>
  <c r="S183" i="34"/>
  <c r="S184" i="34"/>
  <c r="S185" i="34"/>
  <c r="S186" i="34"/>
  <c r="S187" i="34"/>
  <c r="S188" i="34"/>
  <c r="S189" i="34"/>
  <c r="S190" i="34"/>
  <c r="S191" i="34"/>
  <c r="S192" i="34"/>
  <c r="S193" i="34"/>
  <c r="S194" i="34"/>
  <c r="S178" i="34"/>
  <c r="P198" i="34"/>
  <c r="P199" i="34"/>
  <c r="P200" i="34"/>
  <c r="P201" i="34"/>
  <c r="P202" i="34"/>
  <c r="P203" i="34"/>
  <c r="P204" i="34"/>
  <c r="P205" i="34"/>
  <c r="P206" i="34"/>
  <c r="P207" i="34"/>
  <c r="P208" i="34"/>
  <c r="P209" i="34"/>
  <c r="P210" i="34"/>
  <c r="P211" i="34"/>
  <c r="P212" i="34"/>
  <c r="P213" i="34"/>
  <c r="P197" i="34"/>
  <c r="P179" i="34"/>
  <c r="P180" i="34"/>
  <c r="P181" i="34"/>
  <c r="P182" i="34"/>
  <c r="P183" i="34"/>
  <c r="P184" i="34"/>
  <c r="P185" i="34"/>
  <c r="P186" i="34"/>
  <c r="P187" i="34"/>
  <c r="P188" i="34"/>
  <c r="P189" i="34"/>
  <c r="P190" i="34"/>
  <c r="P191" i="34"/>
  <c r="P192" i="34"/>
  <c r="P193" i="34"/>
  <c r="P194" i="34"/>
  <c r="P178" i="34"/>
  <c r="N198" i="34"/>
  <c r="N199" i="34"/>
  <c r="N200" i="34"/>
  <c r="N201" i="34"/>
  <c r="N202" i="34"/>
  <c r="N203" i="34"/>
  <c r="N204" i="34"/>
  <c r="N205" i="34"/>
  <c r="N206" i="34"/>
  <c r="N207" i="34"/>
  <c r="N208" i="34"/>
  <c r="N209" i="34"/>
  <c r="N210" i="34"/>
  <c r="N211" i="34"/>
  <c r="N212" i="34"/>
  <c r="N213" i="34"/>
  <c r="N197" i="34"/>
  <c r="N179" i="34"/>
  <c r="N180" i="34"/>
  <c r="N181" i="34"/>
  <c r="N182" i="34"/>
  <c r="N183" i="34"/>
  <c r="N184" i="34"/>
  <c r="N185" i="34"/>
  <c r="N186" i="34"/>
  <c r="N187" i="34"/>
  <c r="N188" i="34"/>
  <c r="N189" i="34"/>
  <c r="N190" i="34"/>
  <c r="N191" i="34"/>
  <c r="N192" i="34"/>
  <c r="N193" i="34"/>
  <c r="N194" i="34"/>
  <c r="N178" i="34"/>
  <c r="K198" i="34"/>
  <c r="K199" i="34"/>
  <c r="K200" i="34"/>
  <c r="K201" i="34"/>
  <c r="K202" i="34"/>
  <c r="K203" i="34"/>
  <c r="K204" i="34"/>
  <c r="K205" i="34"/>
  <c r="K206" i="34"/>
  <c r="K207" i="34"/>
  <c r="K208" i="34"/>
  <c r="K209" i="34"/>
  <c r="K210" i="34"/>
  <c r="K211" i="34"/>
  <c r="K212" i="34"/>
  <c r="K213" i="34"/>
  <c r="K197" i="34"/>
  <c r="K179" i="34"/>
  <c r="K180" i="34"/>
  <c r="K181" i="34"/>
  <c r="K182" i="34"/>
  <c r="K183" i="34"/>
  <c r="K184" i="34"/>
  <c r="K185" i="34"/>
  <c r="K186" i="34"/>
  <c r="K187" i="34"/>
  <c r="K188" i="34"/>
  <c r="K189" i="34"/>
  <c r="K190" i="34"/>
  <c r="K191" i="34"/>
  <c r="K192" i="34"/>
  <c r="K193" i="34"/>
  <c r="K194" i="34"/>
  <c r="K178" i="34"/>
  <c r="G198" i="34"/>
  <c r="G199" i="34"/>
  <c r="G200" i="34"/>
  <c r="G201" i="34"/>
  <c r="G202" i="34"/>
  <c r="G203" i="34"/>
  <c r="G204" i="34"/>
  <c r="G205" i="34"/>
  <c r="G206" i="34"/>
  <c r="G207" i="34"/>
  <c r="G208" i="34"/>
  <c r="G209" i="34"/>
  <c r="G210" i="34"/>
  <c r="G211" i="34"/>
  <c r="G212" i="34"/>
  <c r="G213" i="34"/>
  <c r="G197" i="34"/>
  <c r="G179" i="34"/>
  <c r="G180" i="34"/>
  <c r="G181" i="34"/>
  <c r="G182" i="34"/>
  <c r="G183" i="34"/>
  <c r="G184" i="34"/>
  <c r="G185" i="34"/>
  <c r="G186" i="34"/>
  <c r="G187" i="34"/>
  <c r="G188" i="34"/>
  <c r="G189" i="34"/>
  <c r="G190" i="34"/>
  <c r="G191" i="34"/>
  <c r="G192" i="34"/>
  <c r="G193" i="34"/>
  <c r="G194" i="34"/>
  <c r="G178" i="34"/>
  <c r="V112" i="34"/>
  <c r="V113" i="34"/>
  <c r="V114" i="34"/>
  <c r="V115" i="34"/>
  <c r="V116" i="34"/>
  <c r="V117" i="34"/>
  <c r="V118" i="34"/>
  <c r="V119" i="34"/>
  <c r="V120" i="34"/>
  <c r="V121" i="34"/>
  <c r="V122" i="34"/>
  <c r="V123" i="34"/>
  <c r="V124" i="34"/>
  <c r="V125" i="34"/>
  <c r="V126" i="34"/>
  <c r="V127" i="34"/>
  <c r="V111" i="34"/>
  <c r="V93" i="34"/>
  <c r="V94" i="34"/>
  <c r="V95" i="34"/>
  <c r="V96" i="34"/>
  <c r="V97" i="34"/>
  <c r="V98" i="34"/>
  <c r="V99" i="34"/>
  <c r="V100" i="34"/>
  <c r="V101" i="34"/>
  <c r="V102" i="34"/>
  <c r="V103" i="34"/>
  <c r="V104" i="34"/>
  <c r="V105" i="34"/>
  <c r="V106" i="34"/>
  <c r="V107" i="34"/>
  <c r="V108" i="34"/>
  <c r="V92" i="34"/>
  <c r="S112" i="34"/>
  <c r="S113" i="34"/>
  <c r="S114" i="34"/>
  <c r="S115" i="34"/>
  <c r="S116" i="34"/>
  <c r="S117" i="34"/>
  <c r="S118" i="34"/>
  <c r="S119" i="34"/>
  <c r="S120" i="34"/>
  <c r="S121" i="34"/>
  <c r="S122" i="34"/>
  <c r="S123" i="34"/>
  <c r="S124" i="34"/>
  <c r="S125" i="34"/>
  <c r="S126" i="34"/>
  <c r="S127" i="34"/>
  <c r="S111" i="34"/>
  <c r="S93" i="34"/>
  <c r="S94" i="34"/>
  <c r="S95" i="34"/>
  <c r="S96" i="34"/>
  <c r="S97" i="34"/>
  <c r="S98" i="34"/>
  <c r="S99" i="34"/>
  <c r="S100" i="34"/>
  <c r="S101" i="34"/>
  <c r="S102" i="34"/>
  <c r="S103" i="34"/>
  <c r="S104" i="34"/>
  <c r="S105" i="34"/>
  <c r="S106" i="34"/>
  <c r="S107" i="34"/>
  <c r="S108" i="34"/>
  <c r="S92" i="34"/>
  <c r="P112" i="34"/>
  <c r="P113" i="34"/>
  <c r="P114" i="34"/>
  <c r="P115" i="34"/>
  <c r="P116" i="34"/>
  <c r="P117" i="34"/>
  <c r="P118" i="34"/>
  <c r="P119" i="34"/>
  <c r="P120" i="34"/>
  <c r="P121" i="34"/>
  <c r="P122" i="34"/>
  <c r="P123" i="34"/>
  <c r="P124" i="34"/>
  <c r="P125" i="34"/>
  <c r="P126" i="34"/>
  <c r="P127" i="34"/>
  <c r="P111" i="34"/>
  <c r="P93" i="34"/>
  <c r="P94" i="34"/>
  <c r="P95" i="34"/>
  <c r="P96" i="34"/>
  <c r="P97" i="34"/>
  <c r="P98" i="34"/>
  <c r="P99" i="34"/>
  <c r="P100" i="34"/>
  <c r="P101" i="34"/>
  <c r="P102" i="34"/>
  <c r="P103" i="34"/>
  <c r="P104" i="34"/>
  <c r="P105" i="34"/>
  <c r="P106" i="34"/>
  <c r="P107" i="34"/>
  <c r="P108" i="34"/>
  <c r="P92" i="34"/>
  <c r="O112" i="34"/>
  <c r="O113" i="34"/>
  <c r="O114" i="34"/>
  <c r="O115" i="34"/>
  <c r="O116" i="34"/>
  <c r="O117" i="34"/>
  <c r="O118" i="34"/>
  <c r="O119" i="34"/>
  <c r="O120" i="34"/>
  <c r="O121" i="34"/>
  <c r="O122" i="34"/>
  <c r="O123" i="34"/>
  <c r="O124" i="34"/>
  <c r="O125" i="34"/>
  <c r="O126" i="34"/>
  <c r="O127" i="34"/>
  <c r="O111" i="34"/>
  <c r="O93" i="34"/>
  <c r="O94" i="34"/>
  <c r="O95" i="34"/>
  <c r="O96" i="34"/>
  <c r="O97" i="34"/>
  <c r="O98" i="34"/>
  <c r="O99" i="34"/>
  <c r="O100" i="34"/>
  <c r="O101" i="34"/>
  <c r="O102" i="34"/>
  <c r="O103" i="34"/>
  <c r="O104" i="34"/>
  <c r="O105" i="34"/>
  <c r="O106" i="34"/>
  <c r="O107" i="34"/>
  <c r="O108" i="34"/>
  <c r="O92" i="34"/>
  <c r="N112" i="34"/>
  <c r="N113" i="34"/>
  <c r="N114" i="34"/>
  <c r="N115" i="34"/>
  <c r="N116" i="34"/>
  <c r="N117" i="34"/>
  <c r="N118" i="34"/>
  <c r="N119" i="34"/>
  <c r="N120" i="34"/>
  <c r="N121" i="34"/>
  <c r="N122" i="34"/>
  <c r="N123" i="34"/>
  <c r="N124" i="34"/>
  <c r="N125" i="34"/>
  <c r="N126" i="34"/>
  <c r="N127" i="34"/>
  <c r="N111" i="34"/>
  <c r="N93" i="34"/>
  <c r="N94" i="34"/>
  <c r="N95" i="34"/>
  <c r="N96" i="34"/>
  <c r="N97" i="34"/>
  <c r="N98" i="34"/>
  <c r="N99" i="34"/>
  <c r="N100" i="34"/>
  <c r="N101" i="34"/>
  <c r="N102" i="34"/>
  <c r="N103" i="34"/>
  <c r="N104" i="34"/>
  <c r="N105" i="34"/>
  <c r="N106" i="34"/>
  <c r="N107" i="34"/>
  <c r="N108" i="34"/>
  <c r="N92" i="34"/>
  <c r="K112" i="34"/>
  <c r="K113" i="34"/>
  <c r="K114" i="34"/>
  <c r="K115" i="34"/>
  <c r="K116" i="34"/>
  <c r="K117" i="34"/>
  <c r="K118" i="34"/>
  <c r="K119" i="34"/>
  <c r="K120" i="34"/>
  <c r="K121" i="34"/>
  <c r="K122" i="34"/>
  <c r="K123" i="34"/>
  <c r="K124" i="34"/>
  <c r="K125" i="34"/>
  <c r="K126" i="34"/>
  <c r="K127" i="34"/>
  <c r="K111" i="34"/>
  <c r="K93" i="34"/>
  <c r="K94" i="34"/>
  <c r="K95" i="34"/>
  <c r="K96" i="34"/>
  <c r="K97" i="34"/>
  <c r="K98" i="34"/>
  <c r="K99" i="34"/>
  <c r="K100" i="34"/>
  <c r="K101" i="34"/>
  <c r="K102" i="34"/>
  <c r="K103" i="34"/>
  <c r="K104" i="34"/>
  <c r="K105" i="34"/>
  <c r="K106" i="34"/>
  <c r="K107" i="34"/>
  <c r="K108" i="34"/>
  <c r="K92" i="34"/>
  <c r="G112" i="34"/>
  <c r="G113" i="34"/>
  <c r="G114" i="34"/>
  <c r="G115" i="34"/>
  <c r="G116" i="34"/>
  <c r="G117" i="34"/>
  <c r="G118" i="34"/>
  <c r="G119" i="34"/>
  <c r="G120" i="34"/>
  <c r="G121" i="34"/>
  <c r="G122" i="34"/>
  <c r="G123" i="34"/>
  <c r="G124" i="34"/>
  <c r="G125" i="34"/>
  <c r="G126" i="34"/>
  <c r="G127" i="34"/>
  <c r="G111" i="34"/>
  <c r="G93" i="34"/>
  <c r="G94" i="34"/>
  <c r="G95" i="34"/>
  <c r="G96" i="34"/>
  <c r="G97" i="34"/>
  <c r="G98" i="34"/>
  <c r="G99" i="34"/>
  <c r="G100" i="34"/>
  <c r="G101" i="34"/>
  <c r="G102" i="34"/>
  <c r="G103" i="34"/>
  <c r="G104" i="34"/>
  <c r="G105" i="34"/>
  <c r="G106" i="34"/>
  <c r="G107" i="34"/>
  <c r="G108" i="34"/>
  <c r="G92" i="34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11" i="33"/>
  <c r="Z69" i="34"/>
  <c r="Z70" i="34"/>
  <c r="Z71" i="34"/>
  <c r="Z72" i="34"/>
  <c r="Z73" i="34"/>
  <c r="Z74" i="34"/>
  <c r="Z75" i="34"/>
  <c r="Z76" i="34"/>
  <c r="Z77" i="34"/>
  <c r="Z79" i="34"/>
  <c r="Z68" i="34"/>
  <c r="Z50" i="34"/>
  <c r="Z51" i="34"/>
  <c r="Z52" i="34"/>
  <c r="Z53" i="34"/>
  <c r="Z54" i="34"/>
  <c r="Z55" i="34"/>
  <c r="Z56" i="34"/>
  <c r="Z57" i="34"/>
  <c r="Z59" i="34"/>
  <c r="Z60" i="34"/>
  <c r="Z49" i="34"/>
  <c r="X69" i="34"/>
  <c r="X70" i="34"/>
  <c r="X71" i="34"/>
  <c r="X72" i="34"/>
  <c r="X73" i="34"/>
  <c r="X74" i="34"/>
  <c r="X75" i="34"/>
  <c r="X76" i="34"/>
  <c r="X77" i="34"/>
  <c r="X78" i="34"/>
  <c r="X79" i="34"/>
  <c r="X80" i="34"/>
  <c r="X81" i="34"/>
  <c r="X68" i="34"/>
  <c r="X50" i="34"/>
  <c r="X51" i="34"/>
  <c r="X52" i="34"/>
  <c r="X53" i="34"/>
  <c r="X54" i="34"/>
  <c r="X55" i="34"/>
  <c r="X56" i="34"/>
  <c r="X57" i="34"/>
  <c r="X58" i="34"/>
  <c r="X59" i="34"/>
  <c r="X60" i="34"/>
  <c r="X61" i="34"/>
  <c r="X62" i="34"/>
  <c r="X49" i="34"/>
  <c r="W69" i="34"/>
  <c r="W70" i="34"/>
  <c r="W71" i="34"/>
  <c r="W72" i="34"/>
  <c r="W73" i="34"/>
  <c r="W74" i="34"/>
  <c r="W75" i="34"/>
  <c r="W76" i="34"/>
  <c r="W77" i="34"/>
  <c r="W78" i="34"/>
  <c r="W79" i="34"/>
  <c r="W68" i="34"/>
  <c r="W50" i="34"/>
  <c r="W51" i="34"/>
  <c r="W52" i="34"/>
  <c r="W53" i="34"/>
  <c r="W54" i="34"/>
  <c r="W55" i="34"/>
  <c r="W56" i="34"/>
  <c r="W57" i="34"/>
  <c r="W58" i="34"/>
  <c r="W59" i="34"/>
  <c r="W60" i="34"/>
  <c r="W49" i="34"/>
  <c r="T69" i="34"/>
  <c r="T70" i="34"/>
  <c r="T71" i="34"/>
  <c r="T72" i="34"/>
  <c r="T73" i="34"/>
  <c r="T74" i="34"/>
  <c r="T75" i="34"/>
  <c r="T76" i="34"/>
  <c r="T77" i="34"/>
  <c r="T78" i="34"/>
  <c r="T79" i="34"/>
  <c r="T68" i="34"/>
  <c r="T50" i="34"/>
  <c r="T51" i="34"/>
  <c r="T52" i="34"/>
  <c r="T53" i="34"/>
  <c r="T54" i="34"/>
  <c r="T55" i="34"/>
  <c r="T56" i="34"/>
  <c r="T57" i="34"/>
  <c r="T58" i="34"/>
  <c r="T59" i="34"/>
  <c r="T60" i="34"/>
  <c r="T49" i="34"/>
  <c r="S69" i="34"/>
  <c r="S70" i="34"/>
  <c r="S71" i="34"/>
  <c r="S72" i="34"/>
  <c r="S73" i="34"/>
  <c r="S74" i="34"/>
  <c r="S75" i="34"/>
  <c r="S76" i="34"/>
  <c r="S77" i="34"/>
  <c r="S78" i="34"/>
  <c r="S79" i="34"/>
  <c r="S68" i="34"/>
  <c r="S50" i="34"/>
  <c r="S51" i="34"/>
  <c r="S52" i="34"/>
  <c r="S53" i="34"/>
  <c r="S54" i="34"/>
  <c r="S55" i="34"/>
  <c r="S56" i="34"/>
  <c r="S57" i="34"/>
  <c r="S58" i="34"/>
  <c r="S59" i="34"/>
  <c r="S60" i="34"/>
  <c r="S49" i="34"/>
  <c r="R69" i="34"/>
  <c r="R70" i="34"/>
  <c r="R71" i="34"/>
  <c r="R72" i="34"/>
  <c r="R73" i="34"/>
  <c r="R74" i="34"/>
  <c r="R75" i="34"/>
  <c r="R76" i="34"/>
  <c r="R77" i="34"/>
  <c r="R78" i="34"/>
  <c r="R79" i="34"/>
  <c r="R80" i="34"/>
  <c r="R68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49" i="34"/>
  <c r="P69" i="34"/>
  <c r="P70" i="34"/>
  <c r="P71" i="34"/>
  <c r="P68" i="34"/>
  <c r="P50" i="34"/>
  <c r="P51" i="34"/>
  <c r="P52" i="34"/>
  <c r="P49" i="34"/>
  <c r="M69" i="34"/>
  <c r="M70" i="34"/>
  <c r="M71" i="34"/>
  <c r="M72" i="34"/>
  <c r="M73" i="34"/>
  <c r="M74" i="34"/>
  <c r="M75" i="34"/>
  <c r="M76" i="34"/>
  <c r="M77" i="34"/>
  <c r="M78" i="34"/>
  <c r="M79" i="34"/>
  <c r="M68" i="34"/>
  <c r="M50" i="34"/>
  <c r="M51" i="34"/>
  <c r="M52" i="34"/>
  <c r="M53" i="34"/>
  <c r="M54" i="34"/>
  <c r="M55" i="34"/>
  <c r="M56" i="34"/>
  <c r="M57" i="34"/>
  <c r="M58" i="34"/>
  <c r="M59" i="34"/>
  <c r="M60" i="34"/>
  <c r="M49" i="34"/>
  <c r="L69" i="34"/>
  <c r="L70" i="34"/>
  <c r="L71" i="34"/>
  <c r="L72" i="34"/>
  <c r="L73" i="34"/>
  <c r="L74" i="34"/>
  <c r="L75" i="34"/>
  <c r="L76" i="34"/>
  <c r="L77" i="34"/>
  <c r="L78" i="34"/>
  <c r="L79" i="34"/>
  <c r="L68" i="34"/>
  <c r="L50" i="34"/>
  <c r="L51" i="34"/>
  <c r="L52" i="34"/>
  <c r="L53" i="34"/>
  <c r="L54" i="34"/>
  <c r="L55" i="34"/>
  <c r="L56" i="34"/>
  <c r="L57" i="34"/>
  <c r="L58" i="34"/>
  <c r="L59" i="34"/>
  <c r="L60" i="34"/>
  <c r="L49" i="34"/>
  <c r="J69" i="34"/>
  <c r="J70" i="34"/>
  <c r="J71" i="34"/>
  <c r="J72" i="34"/>
  <c r="J73" i="34"/>
  <c r="J74" i="34"/>
  <c r="J75" i="34"/>
  <c r="J76" i="34"/>
  <c r="J77" i="34"/>
  <c r="J78" i="34"/>
  <c r="J79" i="34"/>
  <c r="J68" i="34"/>
  <c r="J50" i="34"/>
  <c r="J51" i="34"/>
  <c r="J52" i="34"/>
  <c r="J53" i="34"/>
  <c r="J54" i="34"/>
  <c r="J55" i="34"/>
  <c r="J56" i="34"/>
  <c r="J57" i="34"/>
  <c r="J58" i="34"/>
  <c r="J59" i="34"/>
  <c r="J60" i="34"/>
  <c r="J49" i="34"/>
  <c r="I69" i="34"/>
  <c r="I70" i="34"/>
  <c r="I71" i="34"/>
  <c r="I72" i="34"/>
  <c r="I73" i="34"/>
  <c r="I74" i="34"/>
  <c r="I75" i="34"/>
  <c r="I76" i="34"/>
  <c r="I77" i="34"/>
  <c r="I78" i="34"/>
  <c r="I79" i="34"/>
  <c r="I68" i="34"/>
  <c r="I50" i="34"/>
  <c r="I51" i="34"/>
  <c r="I52" i="34"/>
  <c r="I53" i="34"/>
  <c r="I54" i="34"/>
  <c r="I55" i="34"/>
  <c r="I56" i="34"/>
  <c r="I57" i="34"/>
  <c r="I58" i="34"/>
  <c r="I59" i="34"/>
  <c r="I60" i="34"/>
  <c r="I49" i="34"/>
  <c r="H69" i="34"/>
  <c r="H70" i="34"/>
  <c r="H71" i="34"/>
  <c r="H72" i="34"/>
  <c r="H73" i="34"/>
  <c r="H74" i="34"/>
  <c r="H75" i="34"/>
  <c r="H76" i="34"/>
  <c r="H77" i="34"/>
  <c r="H78" i="34"/>
  <c r="H79" i="34"/>
  <c r="H68" i="34"/>
  <c r="H50" i="34"/>
  <c r="H51" i="34"/>
  <c r="H52" i="34"/>
  <c r="H53" i="34"/>
  <c r="H54" i="34"/>
  <c r="H55" i="34"/>
  <c r="H56" i="34"/>
  <c r="H57" i="34"/>
  <c r="H58" i="34"/>
  <c r="H59" i="34"/>
  <c r="H60" i="34"/>
  <c r="H49" i="34"/>
  <c r="F69" i="34"/>
  <c r="F70" i="34"/>
  <c r="F71" i="34"/>
  <c r="F72" i="34"/>
  <c r="F73" i="34"/>
  <c r="F74" i="34"/>
  <c r="F75" i="34"/>
  <c r="F76" i="34"/>
  <c r="F77" i="34"/>
  <c r="F78" i="34"/>
  <c r="F79" i="34"/>
  <c r="F68" i="34"/>
  <c r="F50" i="34"/>
  <c r="F51" i="34"/>
  <c r="F52" i="34"/>
  <c r="F53" i="34"/>
  <c r="F54" i="34"/>
  <c r="F55" i="34"/>
  <c r="F56" i="34"/>
  <c r="F57" i="34"/>
  <c r="F58" i="34"/>
  <c r="F59" i="34"/>
  <c r="F60" i="34"/>
  <c r="F49" i="34"/>
  <c r="E69" i="34"/>
  <c r="E70" i="34"/>
  <c r="E71" i="34"/>
  <c r="E72" i="34"/>
  <c r="E73" i="34"/>
  <c r="E74" i="34"/>
  <c r="E75" i="34"/>
  <c r="E76" i="34"/>
  <c r="E77" i="34"/>
  <c r="E78" i="34"/>
  <c r="E79" i="34"/>
  <c r="E68" i="34"/>
  <c r="E50" i="34"/>
  <c r="E51" i="34"/>
  <c r="E52" i="34"/>
  <c r="E53" i="34"/>
  <c r="E54" i="34"/>
  <c r="E55" i="34"/>
  <c r="E56" i="34"/>
  <c r="E57" i="34"/>
  <c r="E58" i="34"/>
  <c r="E59" i="34"/>
  <c r="E60" i="34"/>
  <c r="E49" i="34"/>
  <c r="C69" i="34"/>
  <c r="C70" i="34"/>
  <c r="C71" i="34"/>
  <c r="C72" i="34"/>
  <c r="C73" i="34"/>
  <c r="C74" i="34"/>
  <c r="C75" i="34"/>
  <c r="C76" i="34"/>
  <c r="C77" i="34"/>
  <c r="C78" i="34"/>
  <c r="C79" i="34"/>
  <c r="C68" i="34"/>
  <c r="C50" i="34"/>
  <c r="C51" i="34"/>
  <c r="C52" i="34"/>
  <c r="C53" i="34"/>
  <c r="C54" i="34"/>
  <c r="C55" i="34"/>
  <c r="C56" i="34"/>
  <c r="C57" i="34"/>
  <c r="C58" i="34"/>
  <c r="C59" i="34"/>
  <c r="C60" i="34"/>
  <c r="C49" i="34"/>
  <c r="B69" i="34"/>
  <c r="G12" i="33" s="1"/>
  <c r="B70" i="34"/>
  <c r="G13" i="33" s="1"/>
  <c r="B71" i="34"/>
  <c r="G14" i="33" s="1"/>
  <c r="B72" i="34"/>
  <c r="G15" i="33" s="1"/>
  <c r="B73" i="34"/>
  <c r="G16" i="33" s="1"/>
  <c r="B74" i="34"/>
  <c r="G17" i="33" s="1"/>
  <c r="B75" i="34"/>
  <c r="G18" i="33" s="1"/>
  <c r="B76" i="34"/>
  <c r="G19" i="33" s="1"/>
  <c r="B77" i="34"/>
  <c r="G20" i="33" s="1"/>
  <c r="B78" i="34"/>
  <c r="G21" i="33" s="1"/>
  <c r="B79" i="34"/>
  <c r="G22" i="33" s="1"/>
  <c r="B68" i="34"/>
  <c r="G11" i="33" s="1"/>
  <c r="B50" i="34"/>
  <c r="F12" i="33" s="1"/>
  <c r="B51" i="34"/>
  <c r="F13" i="33" s="1"/>
  <c r="B52" i="34"/>
  <c r="F14" i="33" s="1"/>
  <c r="B53" i="34"/>
  <c r="F15" i="33" s="1"/>
  <c r="B54" i="34"/>
  <c r="F16" i="33" s="1"/>
  <c r="B55" i="34"/>
  <c r="F17" i="33" s="1"/>
  <c r="B56" i="34"/>
  <c r="F18" i="33" s="1"/>
  <c r="B57" i="34"/>
  <c r="F19" i="33" s="1"/>
  <c r="B58" i="34"/>
  <c r="F20" i="33" s="1"/>
  <c r="B59" i="34"/>
  <c r="F21" i="33" s="1"/>
  <c r="B60" i="34"/>
  <c r="F22" i="33" s="1"/>
  <c r="B49" i="34"/>
  <c r="F11" i="33" s="1"/>
  <c r="W26" i="34"/>
  <c r="W27" i="34"/>
  <c r="W28" i="34"/>
  <c r="W29" i="34"/>
  <c r="W30" i="34"/>
  <c r="W31" i="34"/>
  <c r="W32" i="34"/>
  <c r="W33" i="34"/>
  <c r="W34" i="34"/>
  <c r="W35" i="34"/>
  <c r="W36" i="34"/>
  <c r="W37" i="34"/>
  <c r="W38" i="34"/>
  <c r="W39" i="34"/>
  <c r="W40" i="34"/>
  <c r="W41" i="34"/>
  <c r="W25" i="34"/>
  <c r="W7" i="34"/>
  <c r="W8" i="34"/>
  <c r="W9" i="34"/>
  <c r="W10" i="34"/>
  <c r="W11" i="34"/>
  <c r="W12" i="34"/>
  <c r="W13" i="34"/>
  <c r="W14" i="34"/>
  <c r="W15" i="34"/>
  <c r="W16" i="34"/>
  <c r="W17" i="34"/>
  <c r="W18" i="34"/>
  <c r="W19" i="34"/>
  <c r="W20" i="34"/>
  <c r="W21" i="34"/>
  <c r="W22" i="34"/>
  <c r="W6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25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6" i="34"/>
  <c r="S26" i="34"/>
  <c r="S27" i="34"/>
  <c r="S28" i="34"/>
  <c r="S29" i="34"/>
  <c r="S30" i="34"/>
  <c r="S31" i="34"/>
  <c r="S32" i="34"/>
  <c r="S33" i="34"/>
  <c r="S34" i="34"/>
  <c r="S35" i="34"/>
  <c r="S36" i="34"/>
  <c r="S37" i="34"/>
  <c r="S38" i="34"/>
  <c r="S39" i="34"/>
  <c r="S40" i="34"/>
  <c r="S41" i="34"/>
  <c r="S25" i="34"/>
  <c r="S7" i="34"/>
  <c r="S8" i="34"/>
  <c r="S9" i="34"/>
  <c r="S10" i="34"/>
  <c r="S11" i="34"/>
  <c r="S12" i="34"/>
  <c r="S13" i="34"/>
  <c r="S14" i="34"/>
  <c r="S15" i="34"/>
  <c r="S16" i="34"/>
  <c r="S17" i="34"/>
  <c r="S18" i="34"/>
  <c r="S19" i="34"/>
  <c r="S20" i="34"/>
  <c r="S21" i="34"/>
  <c r="S22" i="34"/>
  <c r="S6" i="34"/>
  <c r="P26" i="34"/>
  <c r="P27" i="34"/>
  <c r="P28" i="34"/>
  <c r="P29" i="34"/>
  <c r="P30" i="34"/>
  <c r="P31" i="34"/>
  <c r="P32" i="34"/>
  <c r="P33" i="34"/>
  <c r="P34" i="34"/>
  <c r="P35" i="34"/>
  <c r="P36" i="34"/>
  <c r="P37" i="34"/>
  <c r="P38" i="34"/>
  <c r="P39" i="34"/>
  <c r="P40" i="34"/>
  <c r="P41" i="34"/>
  <c r="P25" i="34"/>
  <c r="P7" i="34"/>
  <c r="P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6" i="34"/>
  <c r="O26" i="34"/>
  <c r="O27" i="34"/>
  <c r="O28" i="34"/>
  <c r="O29" i="34"/>
  <c r="O30" i="34"/>
  <c r="O31" i="34"/>
  <c r="O32" i="34"/>
  <c r="O33" i="34"/>
  <c r="O34" i="34"/>
  <c r="O35" i="34"/>
  <c r="O36" i="34"/>
  <c r="O37" i="34"/>
  <c r="O38" i="34"/>
  <c r="O39" i="34"/>
  <c r="O40" i="34"/>
  <c r="O41" i="34"/>
  <c r="O25" i="34"/>
  <c r="O7" i="34"/>
  <c r="O8" i="34"/>
  <c r="O9" i="34"/>
  <c r="O10" i="34"/>
  <c r="O11" i="34"/>
  <c r="O12" i="34"/>
  <c r="O13" i="34"/>
  <c r="O14" i="34"/>
  <c r="O15" i="34"/>
  <c r="O16" i="34"/>
  <c r="O17" i="34"/>
  <c r="O18" i="34"/>
  <c r="O19" i="34"/>
  <c r="O20" i="34"/>
  <c r="O21" i="34"/>
  <c r="O22" i="34"/>
  <c r="O6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25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6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25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6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25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6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25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6" i="34"/>
  <c r="D24" i="21" l="1"/>
  <c r="C24" i="21"/>
  <c r="D24" i="32"/>
  <c r="C24" i="32"/>
  <c r="H24" i="31"/>
  <c r="G24" i="31"/>
  <c r="F24" i="31"/>
  <c r="E24" i="31"/>
  <c r="D24" i="31"/>
  <c r="C24" i="31"/>
  <c r="H24" i="29"/>
  <c r="G24" i="29"/>
  <c r="F24" i="29"/>
  <c r="E24" i="29"/>
  <c r="D24" i="29"/>
  <c r="C24" i="29"/>
  <c r="C24" i="27"/>
  <c r="H24" i="27"/>
  <c r="G24" i="27"/>
  <c r="F24" i="27"/>
  <c r="E24" i="27"/>
  <c r="D24" i="27"/>
  <c r="F24" i="26"/>
  <c r="E24" i="26"/>
  <c r="D24" i="26"/>
  <c r="C24" i="26"/>
  <c r="D24" i="25"/>
  <c r="E24" i="25"/>
  <c r="F24" i="25"/>
  <c r="G24" i="25"/>
  <c r="H24" i="25"/>
  <c r="C24" i="25"/>
  <c r="E24" i="24"/>
  <c r="D24" i="24"/>
  <c r="F24" i="24"/>
  <c r="G24" i="24"/>
  <c r="H24" i="24"/>
  <c r="C24" i="24"/>
  <c r="H24" i="22"/>
  <c r="D24" i="22"/>
  <c r="E24" i="22"/>
  <c r="F24" i="22"/>
  <c r="G24" i="22"/>
  <c r="C24" i="22"/>
  <c r="D20" i="6"/>
  <c r="C20" i="6"/>
  <c r="R115" i="11" l="1"/>
  <c r="Q115" i="11"/>
  <c r="P115" i="11"/>
  <c r="O115" i="11"/>
  <c r="N115" i="11"/>
  <c r="M115" i="11"/>
  <c r="G7" i="19"/>
  <c r="I7" i="19"/>
  <c r="G8" i="19"/>
  <c r="G63" i="19" s="1"/>
  <c r="L8" i="19"/>
  <c r="G9" i="19"/>
  <c r="L9" i="19" s="1"/>
  <c r="G10" i="19"/>
  <c r="L10" i="19"/>
  <c r="G11" i="19"/>
  <c r="L11" i="19" s="1"/>
  <c r="G12" i="19"/>
  <c r="G67" i="19" s="1"/>
  <c r="G13" i="19"/>
  <c r="G68" i="19" s="1"/>
  <c r="G14" i="19"/>
  <c r="L14" i="19" s="1"/>
  <c r="G15" i="19"/>
  <c r="G70" i="19" s="1"/>
  <c r="G16" i="19"/>
  <c r="G17" i="19"/>
  <c r="L17" i="19" s="1"/>
  <c r="G18" i="19"/>
  <c r="G73" i="19" s="1"/>
  <c r="G20" i="19"/>
  <c r="I20" i="19"/>
  <c r="J10" i="19" s="1"/>
  <c r="J65" i="19" s="1"/>
  <c r="H25" i="19"/>
  <c r="J25" i="19"/>
  <c r="H26" i="19"/>
  <c r="J26" i="19"/>
  <c r="H27" i="19"/>
  <c r="J27" i="19"/>
  <c r="H28" i="19"/>
  <c r="J28" i="19"/>
  <c r="H29" i="19"/>
  <c r="J29" i="19"/>
  <c r="H30" i="19"/>
  <c r="J30" i="19"/>
  <c r="H31" i="19"/>
  <c r="J31" i="19"/>
  <c r="H32" i="19"/>
  <c r="J32" i="19"/>
  <c r="H33" i="19"/>
  <c r="J33" i="19"/>
  <c r="H34" i="19"/>
  <c r="J34" i="19"/>
  <c r="H35" i="19"/>
  <c r="J35" i="19"/>
  <c r="H36" i="19"/>
  <c r="J36" i="19"/>
  <c r="H37" i="19"/>
  <c r="J37" i="19"/>
  <c r="H43" i="19"/>
  <c r="J43" i="19"/>
  <c r="H44" i="19"/>
  <c r="J44" i="19"/>
  <c r="H45" i="19"/>
  <c r="J45" i="19"/>
  <c r="H46" i="19"/>
  <c r="J46" i="19"/>
  <c r="H47" i="19"/>
  <c r="J47" i="19"/>
  <c r="H48" i="19"/>
  <c r="J48" i="19"/>
  <c r="H49" i="19"/>
  <c r="J49" i="19"/>
  <c r="H50" i="19"/>
  <c r="J50" i="19"/>
  <c r="H51" i="19"/>
  <c r="J51" i="19"/>
  <c r="H52" i="19"/>
  <c r="J52" i="19"/>
  <c r="H53" i="19"/>
  <c r="J53" i="19"/>
  <c r="H54" i="19"/>
  <c r="J54" i="19"/>
  <c r="H55" i="19"/>
  <c r="J55" i="19"/>
  <c r="I63" i="19"/>
  <c r="I64" i="19"/>
  <c r="G65" i="19"/>
  <c r="I65" i="19"/>
  <c r="I66" i="19"/>
  <c r="I67" i="19"/>
  <c r="I68" i="19"/>
  <c r="I69" i="19"/>
  <c r="I70" i="19"/>
  <c r="I71" i="19"/>
  <c r="I72" i="19"/>
  <c r="I73" i="19"/>
  <c r="C19" i="19"/>
  <c r="D19" i="19"/>
  <c r="G7" i="18"/>
  <c r="G8" i="18"/>
  <c r="L8" i="18" s="1"/>
  <c r="M8" i="18" s="1"/>
  <c r="G9" i="18"/>
  <c r="G64" i="18" s="1"/>
  <c r="G10" i="18"/>
  <c r="L10" i="18"/>
  <c r="G11" i="18"/>
  <c r="G12" i="18"/>
  <c r="L12" i="18" s="1"/>
  <c r="G13" i="18"/>
  <c r="G68" i="18" s="1"/>
  <c r="G14" i="18"/>
  <c r="L14" i="18"/>
  <c r="G15" i="18"/>
  <c r="L15" i="18" s="1"/>
  <c r="G16" i="18"/>
  <c r="L16" i="18"/>
  <c r="G17" i="18"/>
  <c r="G72" i="18"/>
  <c r="G18" i="18"/>
  <c r="L18" i="18"/>
  <c r="G20" i="18"/>
  <c r="M10" i="18" s="1"/>
  <c r="I20" i="18"/>
  <c r="J9" i="18" s="1"/>
  <c r="J64" i="18" s="1"/>
  <c r="H25" i="18"/>
  <c r="J25" i="18"/>
  <c r="H26" i="18"/>
  <c r="J26" i="18"/>
  <c r="H27" i="18"/>
  <c r="J27" i="18"/>
  <c r="H28" i="18"/>
  <c r="J28" i="18"/>
  <c r="H29" i="18"/>
  <c r="J29" i="18"/>
  <c r="H30" i="18"/>
  <c r="J30" i="18"/>
  <c r="H31" i="18"/>
  <c r="J31" i="18"/>
  <c r="H32" i="18"/>
  <c r="J32" i="18"/>
  <c r="H33" i="18"/>
  <c r="J33" i="18"/>
  <c r="H34" i="18"/>
  <c r="J34" i="18"/>
  <c r="H35" i="18"/>
  <c r="J35" i="18"/>
  <c r="H36" i="18"/>
  <c r="J36" i="18"/>
  <c r="H37" i="18"/>
  <c r="J37" i="18"/>
  <c r="H43" i="18"/>
  <c r="J43" i="18"/>
  <c r="H44" i="18"/>
  <c r="J44" i="18"/>
  <c r="H45" i="18"/>
  <c r="J45" i="18"/>
  <c r="H46" i="18"/>
  <c r="J46" i="18"/>
  <c r="H47" i="18"/>
  <c r="J47" i="18"/>
  <c r="H48" i="18"/>
  <c r="J48" i="18"/>
  <c r="H49" i="18"/>
  <c r="J49" i="18"/>
  <c r="H50" i="18"/>
  <c r="J50" i="18"/>
  <c r="H51" i="18"/>
  <c r="J51" i="18"/>
  <c r="H52" i="18"/>
  <c r="J52" i="18"/>
  <c r="H53" i="18"/>
  <c r="J53" i="18"/>
  <c r="H54" i="18"/>
  <c r="J54" i="18"/>
  <c r="H55" i="18"/>
  <c r="J55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5" i="18"/>
  <c r="C19" i="18"/>
  <c r="D19" i="18"/>
  <c r="G7" i="15"/>
  <c r="J7" i="15"/>
  <c r="J62" i="15" s="1"/>
  <c r="G8" i="15"/>
  <c r="J8" i="15"/>
  <c r="J63" i="15" s="1"/>
  <c r="G9" i="15"/>
  <c r="L9" i="15" s="1"/>
  <c r="M9" i="15" s="1"/>
  <c r="J9" i="15"/>
  <c r="J64" i="15" s="1"/>
  <c r="G10" i="15"/>
  <c r="L10" i="15" s="1"/>
  <c r="J10" i="15"/>
  <c r="J65" i="15" s="1"/>
  <c r="G11" i="15"/>
  <c r="G66" i="15" s="1"/>
  <c r="J11" i="15"/>
  <c r="J66" i="15" s="1"/>
  <c r="G12" i="15"/>
  <c r="J12" i="15"/>
  <c r="J67" i="15" s="1"/>
  <c r="G13" i="15"/>
  <c r="L13" i="15" s="1"/>
  <c r="M13" i="15" s="1"/>
  <c r="J13" i="15"/>
  <c r="J68" i="15" s="1"/>
  <c r="G14" i="15"/>
  <c r="J14" i="15"/>
  <c r="J69" i="15" s="1"/>
  <c r="G15" i="15"/>
  <c r="G70" i="15" s="1"/>
  <c r="J15" i="15"/>
  <c r="G16" i="15"/>
  <c r="L16" i="15" s="1"/>
  <c r="J16" i="15"/>
  <c r="J71" i="15" s="1"/>
  <c r="G17" i="15"/>
  <c r="G72" i="15" s="1"/>
  <c r="J17" i="15"/>
  <c r="J72" i="15" s="1"/>
  <c r="G18" i="15"/>
  <c r="J18" i="15"/>
  <c r="J73" i="15" s="1"/>
  <c r="G20" i="15"/>
  <c r="H11" i="15" s="1"/>
  <c r="H66" i="15" s="1"/>
  <c r="H25" i="15"/>
  <c r="J25" i="15"/>
  <c r="H26" i="15"/>
  <c r="J26" i="15"/>
  <c r="H27" i="15"/>
  <c r="J27" i="15"/>
  <c r="H28" i="15"/>
  <c r="J28" i="15"/>
  <c r="H29" i="15"/>
  <c r="J29" i="15"/>
  <c r="H30" i="15"/>
  <c r="J30" i="15"/>
  <c r="H31" i="15"/>
  <c r="J31" i="15"/>
  <c r="H32" i="15"/>
  <c r="J32" i="15"/>
  <c r="H33" i="15"/>
  <c r="J33" i="15"/>
  <c r="H34" i="15"/>
  <c r="J34" i="15"/>
  <c r="H35" i="15"/>
  <c r="J35" i="15"/>
  <c r="H36" i="15"/>
  <c r="J36" i="15"/>
  <c r="H37" i="15"/>
  <c r="J37" i="15"/>
  <c r="H43" i="15"/>
  <c r="J43" i="15"/>
  <c r="H44" i="15"/>
  <c r="J44" i="15"/>
  <c r="H45" i="15"/>
  <c r="J45" i="15"/>
  <c r="H46" i="15"/>
  <c r="J46" i="15"/>
  <c r="H47" i="15"/>
  <c r="J47" i="15"/>
  <c r="H48" i="15"/>
  <c r="J48" i="15"/>
  <c r="H49" i="15"/>
  <c r="J49" i="15"/>
  <c r="H50" i="15"/>
  <c r="J50" i="15"/>
  <c r="H51" i="15"/>
  <c r="J51" i="15"/>
  <c r="H52" i="15"/>
  <c r="J52" i="15"/>
  <c r="H53" i="15"/>
  <c r="J53" i="15"/>
  <c r="H54" i="15"/>
  <c r="J54" i="15"/>
  <c r="H55" i="15"/>
  <c r="J55" i="15"/>
  <c r="G62" i="15"/>
  <c r="I62" i="15"/>
  <c r="I63" i="15"/>
  <c r="G64" i="15"/>
  <c r="I64" i="15"/>
  <c r="I65" i="15"/>
  <c r="I66" i="15"/>
  <c r="I67" i="15"/>
  <c r="I68" i="15"/>
  <c r="I69" i="15"/>
  <c r="I70" i="15"/>
  <c r="J70" i="15"/>
  <c r="G71" i="15"/>
  <c r="I71" i="15"/>
  <c r="I72" i="15"/>
  <c r="I73" i="15"/>
  <c r="G75" i="15"/>
  <c r="I75" i="15"/>
  <c r="C19" i="15"/>
  <c r="D19" i="15"/>
  <c r="J7" i="14"/>
  <c r="L7" i="14"/>
  <c r="M7" i="14" s="1"/>
  <c r="J8" i="14"/>
  <c r="J63" i="14"/>
  <c r="L8" i="14"/>
  <c r="M8" i="14"/>
  <c r="J9" i="14"/>
  <c r="J64" i="14" s="1"/>
  <c r="L9" i="14"/>
  <c r="M9" i="14" s="1"/>
  <c r="J10" i="14"/>
  <c r="J65" i="14" s="1"/>
  <c r="L10" i="14"/>
  <c r="M10" i="14" s="1"/>
  <c r="J11" i="14"/>
  <c r="J66" i="14"/>
  <c r="L11" i="14"/>
  <c r="M11" i="14" s="1"/>
  <c r="G12" i="14"/>
  <c r="J12" i="14"/>
  <c r="G13" i="14"/>
  <c r="J13" i="14"/>
  <c r="J68" i="14"/>
  <c r="L13" i="14"/>
  <c r="M13" i="14" s="1"/>
  <c r="G14" i="14"/>
  <c r="J14" i="14"/>
  <c r="J69" i="14"/>
  <c r="J15" i="14"/>
  <c r="L15" i="14"/>
  <c r="J16" i="14"/>
  <c r="J71" i="14"/>
  <c r="L16" i="14"/>
  <c r="J17" i="14"/>
  <c r="J72" i="14" s="1"/>
  <c r="L17" i="14"/>
  <c r="M17" i="14" s="1"/>
  <c r="G18" i="14"/>
  <c r="J18" i="14"/>
  <c r="J73" i="14"/>
  <c r="G20" i="14"/>
  <c r="H7" i="14" s="1"/>
  <c r="H62" i="14" s="1"/>
  <c r="H17" i="14"/>
  <c r="H72" i="14"/>
  <c r="H25" i="14"/>
  <c r="J25" i="14"/>
  <c r="H26" i="14"/>
  <c r="J26" i="14"/>
  <c r="H27" i="14"/>
  <c r="J27" i="14"/>
  <c r="H28" i="14"/>
  <c r="J28" i="14"/>
  <c r="H29" i="14"/>
  <c r="J29" i="14"/>
  <c r="H30" i="14"/>
  <c r="J30" i="14"/>
  <c r="H31" i="14"/>
  <c r="J31" i="14"/>
  <c r="H32" i="14"/>
  <c r="J32" i="14"/>
  <c r="H33" i="14"/>
  <c r="J33" i="14"/>
  <c r="H34" i="14"/>
  <c r="J34" i="14"/>
  <c r="H35" i="14"/>
  <c r="J35" i="14"/>
  <c r="H36" i="14"/>
  <c r="J36" i="14"/>
  <c r="H37" i="14"/>
  <c r="J37" i="14"/>
  <c r="H43" i="14"/>
  <c r="J43" i="14"/>
  <c r="H44" i="14"/>
  <c r="J44" i="14"/>
  <c r="H45" i="14"/>
  <c r="J45" i="14"/>
  <c r="H46" i="14"/>
  <c r="J46" i="14"/>
  <c r="H47" i="14"/>
  <c r="J47" i="14"/>
  <c r="H48" i="14"/>
  <c r="J48" i="14"/>
  <c r="H49" i="14"/>
  <c r="J49" i="14"/>
  <c r="H50" i="14"/>
  <c r="J50" i="14"/>
  <c r="H51" i="14"/>
  <c r="J51" i="14"/>
  <c r="H52" i="14"/>
  <c r="J52" i="14"/>
  <c r="H53" i="14"/>
  <c r="J53" i="14"/>
  <c r="H54" i="14"/>
  <c r="J54" i="14"/>
  <c r="H55" i="14"/>
  <c r="J55" i="14"/>
  <c r="G62" i="14"/>
  <c r="I62" i="14"/>
  <c r="G63" i="14"/>
  <c r="I63" i="14"/>
  <c r="G64" i="14"/>
  <c r="I64" i="14"/>
  <c r="G65" i="14"/>
  <c r="I65" i="14"/>
  <c r="G66" i="14"/>
  <c r="I66" i="14"/>
  <c r="I67" i="14"/>
  <c r="J67" i="14"/>
  <c r="G68" i="14"/>
  <c r="I68" i="14"/>
  <c r="G69" i="14"/>
  <c r="I69" i="14"/>
  <c r="G70" i="14"/>
  <c r="I70" i="14"/>
  <c r="J70" i="14"/>
  <c r="G71" i="14"/>
  <c r="I71" i="14"/>
  <c r="G72" i="14"/>
  <c r="I72" i="14"/>
  <c r="G73" i="14"/>
  <c r="I73" i="14"/>
  <c r="I75" i="14"/>
  <c r="C19" i="14"/>
  <c r="D19" i="14"/>
  <c r="G7" i="20"/>
  <c r="I7" i="20"/>
  <c r="L7" i="20" s="1"/>
  <c r="G8" i="20"/>
  <c r="I8" i="20"/>
  <c r="L8" i="20"/>
  <c r="G9" i="20"/>
  <c r="I9" i="20"/>
  <c r="L9" i="20" s="1"/>
  <c r="G10" i="20"/>
  <c r="L10" i="20" s="1"/>
  <c r="I10" i="20"/>
  <c r="G11" i="20"/>
  <c r="I11" i="20"/>
  <c r="G12" i="20"/>
  <c r="I12" i="20"/>
  <c r="G13" i="20"/>
  <c r="G71" i="20" s="1"/>
  <c r="I13" i="20"/>
  <c r="G14" i="20"/>
  <c r="I14" i="20"/>
  <c r="L14" i="20"/>
  <c r="G15" i="20"/>
  <c r="I15" i="20"/>
  <c r="G16" i="20"/>
  <c r="I16" i="20"/>
  <c r="G17" i="20"/>
  <c r="I17" i="20"/>
  <c r="L17" i="20" s="1"/>
  <c r="G18" i="20"/>
  <c r="I18" i="20"/>
  <c r="G19" i="20"/>
  <c r="I19" i="20"/>
  <c r="G20" i="20"/>
  <c r="I20" i="20"/>
  <c r="G28" i="20"/>
  <c r="I28" i="20"/>
  <c r="G29" i="20"/>
  <c r="G66" i="20" s="1"/>
  <c r="I29" i="20"/>
  <c r="J29" i="20" s="1"/>
  <c r="G30" i="20"/>
  <c r="I30" i="20"/>
  <c r="G31" i="20"/>
  <c r="I31" i="20"/>
  <c r="G32" i="20"/>
  <c r="I32" i="20"/>
  <c r="G33" i="20"/>
  <c r="I33" i="20"/>
  <c r="J33" i="20" s="1"/>
  <c r="G34" i="20"/>
  <c r="I34" i="20"/>
  <c r="G35" i="20"/>
  <c r="I35" i="20"/>
  <c r="G36" i="20"/>
  <c r="I36" i="20"/>
  <c r="J36" i="20" s="1"/>
  <c r="G37" i="20"/>
  <c r="I37" i="20"/>
  <c r="J37" i="20" s="1"/>
  <c r="G38" i="20"/>
  <c r="I38" i="20"/>
  <c r="G39" i="20"/>
  <c r="I39" i="20"/>
  <c r="G40" i="20"/>
  <c r="I40" i="20"/>
  <c r="G41" i="20"/>
  <c r="G78" i="20" s="1"/>
  <c r="I41" i="20"/>
  <c r="H46" i="20"/>
  <c r="J46" i="20"/>
  <c r="H47" i="20"/>
  <c r="J47" i="20"/>
  <c r="H48" i="20"/>
  <c r="J48" i="20"/>
  <c r="H49" i="20"/>
  <c r="J49" i="20"/>
  <c r="H50" i="20"/>
  <c r="J50" i="20"/>
  <c r="H51" i="20"/>
  <c r="J51" i="20"/>
  <c r="H52" i="20"/>
  <c r="J52" i="20"/>
  <c r="H53" i="20"/>
  <c r="J53" i="20"/>
  <c r="H54" i="20"/>
  <c r="J54" i="20"/>
  <c r="H55" i="20"/>
  <c r="J55" i="20"/>
  <c r="H56" i="20"/>
  <c r="J56" i="20"/>
  <c r="H57" i="20"/>
  <c r="J57" i="20"/>
  <c r="H58" i="20"/>
  <c r="J58" i="20"/>
  <c r="G67" i="20"/>
  <c r="I67" i="20"/>
  <c r="I68" i="20"/>
  <c r="G75" i="20"/>
  <c r="I75" i="20"/>
  <c r="C21" i="20"/>
  <c r="D21" i="20"/>
  <c r="G7" i="17"/>
  <c r="I7" i="17"/>
  <c r="G8" i="17"/>
  <c r="I8" i="17"/>
  <c r="L8" i="17"/>
  <c r="M8" i="17" s="1"/>
  <c r="G9" i="17"/>
  <c r="I9" i="17"/>
  <c r="G10" i="17"/>
  <c r="I10" i="17"/>
  <c r="L10" i="17"/>
  <c r="G11" i="17"/>
  <c r="I11" i="17"/>
  <c r="G12" i="17"/>
  <c r="L12" i="17" s="1"/>
  <c r="M12" i="17" s="1"/>
  <c r="I12" i="17"/>
  <c r="G13" i="17"/>
  <c r="H13" i="17" s="1"/>
  <c r="H68" i="17" s="1"/>
  <c r="I13" i="17"/>
  <c r="G14" i="17"/>
  <c r="I14" i="17"/>
  <c r="L14" i="17"/>
  <c r="M14" i="17"/>
  <c r="G15" i="17"/>
  <c r="I15" i="17"/>
  <c r="G16" i="17"/>
  <c r="I16" i="17"/>
  <c r="G17" i="17"/>
  <c r="I17" i="17"/>
  <c r="I72" i="17" s="1"/>
  <c r="G18" i="17"/>
  <c r="I18" i="17"/>
  <c r="L18" i="17" s="1"/>
  <c r="M18" i="17" s="1"/>
  <c r="G20" i="17"/>
  <c r="H15" i="17" s="1"/>
  <c r="H70" i="17" s="1"/>
  <c r="I20" i="17"/>
  <c r="H25" i="17"/>
  <c r="J25" i="17"/>
  <c r="H26" i="17"/>
  <c r="J26" i="17"/>
  <c r="H27" i="17"/>
  <c r="J27" i="17"/>
  <c r="H28" i="17"/>
  <c r="J28" i="17"/>
  <c r="H29" i="17"/>
  <c r="J29" i="17"/>
  <c r="H30" i="17"/>
  <c r="J30" i="17"/>
  <c r="H31" i="17"/>
  <c r="J31" i="17"/>
  <c r="H32" i="17"/>
  <c r="J32" i="17"/>
  <c r="H33" i="17"/>
  <c r="J33" i="17"/>
  <c r="H34" i="17"/>
  <c r="J34" i="17"/>
  <c r="H35" i="17"/>
  <c r="J35" i="17"/>
  <c r="H36" i="17"/>
  <c r="J36" i="17"/>
  <c r="H37" i="17"/>
  <c r="J37" i="17"/>
  <c r="H43" i="17"/>
  <c r="J43" i="17"/>
  <c r="H44" i="17"/>
  <c r="J44" i="17"/>
  <c r="H45" i="17"/>
  <c r="J45" i="17"/>
  <c r="H46" i="17"/>
  <c r="J46" i="17"/>
  <c r="H47" i="17"/>
  <c r="J47" i="17"/>
  <c r="H48" i="17"/>
  <c r="J48" i="17"/>
  <c r="H49" i="17"/>
  <c r="J49" i="17"/>
  <c r="H50" i="17"/>
  <c r="J50" i="17"/>
  <c r="H51" i="17"/>
  <c r="J51" i="17"/>
  <c r="H52" i="17"/>
  <c r="J52" i="17"/>
  <c r="H53" i="17"/>
  <c r="J53" i="17"/>
  <c r="H54" i="17"/>
  <c r="J54" i="17"/>
  <c r="H55" i="17"/>
  <c r="J55" i="17"/>
  <c r="I62" i="17"/>
  <c r="G63" i="17"/>
  <c r="I64" i="17"/>
  <c r="G65" i="17"/>
  <c r="I66" i="17"/>
  <c r="G67" i="17"/>
  <c r="I68" i="17"/>
  <c r="G69" i="17"/>
  <c r="G73" i="17"/>
  <c r="C19" i="17"/>
  <c r="D19" i="17"/>
  <c r="G7" i="13"/>
  <c r="L7" i="13"/>
  <c r="M7" i="13" s="1"/>
  <c r="G8" i="13"/>
  <c r="L8" i="13" s="1"/>
  <c r="M8" i="13" s="1"/>
  <c r="G9" i="13"/>
  <c r="L9" i="13" s="1"/>
  <c r="M9" i="13" s="1"/>
  <c r="G64" i="13"/>
  <c r="G10" i="13"/>
  <c r="L10" i="13"/>
  <c r="M10" i="13" s="1"/>
  <c r="G11" i="13"/>
  <c r="G66" i="13"/>
  <c r="L11" i="13"/>
  <c r="M11" i="13" s="1"/>
  <c r="G12" i="13"/>
  <c r="L12" i="13" s="1"/>
  <c r="M12" i="13" s="1"/>
  <c r="G13" i="13"/>
  <c r="G68" i="13"/>
  <c r="G14" i="13"/>
  <c r="G15" i="13"/>
  <c r="H15" i="13" s="1"/>
  <c r="H70" i="13" s="1"/>
  <c r="G16" i="13"/>
  <c r="L16" i="13"/>
  <c r="M16" i="13" s="1"/>
  <c r="G17" i="13"/>
  <c r="G72" i="13" s="1"/>
  <c r="G18" i="13"/>
  <c r="L18" i="13" s="1"/>
  <c r="M18" i="13" s="1"/>
  <c r="H18" i="13"/>
  <c r="H73" i="13"/>
  <c r="G20" i="13"/>
  <c r="H10" i="13" s="1"/>
  <c r="H65" i="13" s="1"/>
  <c r="H8" i="13"/>
  <c r="H63" i="13" s="1"/>
  <c r="I20" i="13"/>
  <c r="J15" i="13"/>
  <c r="J70" i="13" s="1"/>
  <c r="H25" i="13"/>
  <c r="J25" i="13"/>
  <c r="H26" i="13"/>
  <c r="J26" i="13"/>
  <c r="H27" i="13"/>
  <c r="J27" i="13"/>
  <c r="H28" i="13"/>
  <c r="J28" i="13"/>
  <c r="H29" i="13"/>
  <c r="J29" i="13"/>
  <c r="H30" i="13"/>
  <c r="J30" i="13"/>
  <c r="H31" i="13"/>
  <c r="J31" i="13"/>
  <c r="H32" i="13"/>
  <c r="J32" i="13"/>
  <c r="H33" i="13"/>
  <c r="J33" i="13"/>
  <c r="H34" i="13"/>
  <c r="J34" i="13"/>
  <c r="H35" i="13"/>
  <c r="J35" i="13"/>
  <c r="H36" i="13"/>
  <c r="J36" i="13"/>
  <c r="H37" i="13"/>
  <c r="J37" i="13"/>
  <c r="H43" i="13"/>
  <c r="J43" i="13"/>
  <c r="H44" i="13"/>
  <c r="J44" i="13"/>
  <c r="H45" i="13"/>
  <c r="J45" i="13"/>
  <c r="H46" i="13"/>
  <c r="J46" i="13"/>
  <c r="H47" i="13"/>
  <c r="J47" i="13"/>
  <c r="H48" i="13"/>
  <c r="J48" i="13"/>
  <c r="H49" i="13"/>
  <c r="J49" i="13"/>
  <c r="H50" i="13"/>
  <c r="J50" i="13"/>
  <c r="H51" i="13"/>
  <c r="J51" i="13"/>
  <c r="H52" i="13"/>
  <c r="J52" i="13"/>
  <c r="H53" i="13"/>
  <c r="J53" i="13"/>
  <c r="H54" i="13"/>
  <c r="J54" i="13"/>
  <c r="H55" i="13"/>
  <c r="J55" i="13"/>
  <c r="G62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G75" i="13"/>
  <c r="I75" i="13"/>
  <c r="C19" i="13"/>
  <c r="D19" i="13"/>
  <c r="G7" i="16"/>
  <c r="L7" i="16" s="1"/>
  <c r="M7" i="16" s="1"/>
  <c r="H7" i="16"/>
  <c r="I7" i="16"/>
  <c r="J7" i="16" s="1"/>
  <c r="G8" i="16"/>
  <c r="H8" i="16" s="1"/>
  <c r="H63" i="16" s="1"/>
  <c r="I8" i="16"/>
  <c r="L8" i="16"/>
  <c r="G9" i="16"/>
  <c r="I9" i="16"/>
  <c r="G10" i="16"/>
  <c r="I10" i="16"/>
  <c r="I65" i="16" s="1"/>
  <c r="G11" i="16"/>
  <c r="I11" i="16"/>
  <c r="G12" i="16"/>
  <c r="H12" i="16"/>
  <c r="H67" i="16"/>
  <c r="I12" i="16"/>
  <c r="G13" i="16"/>
  <c r="I13" i="16"/>
  <c r="I68" i="16"/>
  <c r="L13" i="16"/>
  <c r="G14" i="16"/>
  <c r="I14" i="16"/>
  <c r="L14" i="16" s="1"/>
  <c r="M14" i="16" s="1"/>
  <c r="G15" i="16"/>
  <c r="H15" i="16"/>
  <c r="H70" i="16" s="1"/>
  <c r="I15" i="16"/>
  <c r="G16" i="16"/>
  <c r="I16" i="16"/>
  <c r="L16" i="16"/>
  <c r="M16" i="16"/>
  <c r="G17" i="16"/>
  <c r="I17" i="16"/>
  <c r="G18" i="16"/>
  <c r="I18" i="16"/>
  <c r="G20" i="16"/>
  <c r="M8" i="16" s="1"/>
  <c r="I20" i="16"/>
  <c r="H25" i="16"/>
  <c r="J25" i="16"/>
  <c r="H26" i="16"/>
  <c r="J26" i="16"/>
  <c r="H27" i="16"/>
  <c r="J27" i="16"/>
  <c r="H28" i="16"/>
  <c r="J28" i="16"/>
  <c r="H29" i="16"/>
  <c r="J29" i="16"/>
  <c r="H30" i="16"/>
  <c r="J30" i="16"/>
  <c r="H31" i="16"/>
  <c r="J31" i="16"/>
  <c r="H32" i="16"/>
  <c r="J32" i="16"/>
  <c r="H33" i="16"/>
  <c r="J33" i="16"/>
  <c r="H34" i="16"/>
  <c r="J34" i="16"/>
  <c r="H35" i="16"/>
  <c r="J35" i="16"/>
  <c r="H36" i="16"/>
  <c r="J36" i="16"/>
  <c r="H37" i="16"/>
  <c r="J37" i="16"/>
  <c r="H43" i="16"/>
  <c r="J43" i="16"/>
  <c r="H44" i="16"/>
  <c r="J44" i="16"/>
  <c r="H45" i="16"/>
  <c r="J45" i="16"/>
  <c r="H46" i="16"/>
  <c r="J46" i="16"/>
  <c r="H47" i="16"/>
  <c r="J47" i="16"/>
  <c r="H48" i="16"/>
  <c r="J48" i="16"/>
  <c r="H49" i="16"/>
  <c r="J49" i="16"/>
  <c r="H50" i="16"/>
  <c r="J50" i="16"/>
  <c r="H51" i="16"/>
  <c r="J51" i="16"/>
  <c r="H52" i="16"/>
  <c r="J52" i="16"/>
  <c r="H53" i="16"/>
  <c r="J53" i="16"/>
  <c r="H54" i="16"/>
  <c r="J54" i="16"/>
  <c r="H55" i="16"/>
  <c r="J55" i="16"/>
  <c r="G62" i="16"/>
  <c r="I62" i="16"/>
  <c r="I64" i="16"/>
  <c r="G66" i="16"/>
  <c r="G68" i="16"/>
  <c r="G69" i="16"/>
  <c r="I70" i="16"/>
  <c r="I72" i="16"/>
  <c r="I75" i="16"/>
  <c r="C19" i="16"/>
  <c r="D19" i="16"/>
  <c r="G7" i="10"/>
  <c r="G62" i="10" s="1"/>
  <c r="I7" i="10"/>
  <c r="G8" i="10"/>
  <c r="I8" i="10"/>
  <c r="G9" i="10"/>
  <c r="I9" i="10"/>
  <c r="G10" i="10"/>
  <c r="I10" i="10"/>
  <c r="G11" i="10"/>
  <c r="I11" i="10"/>
  <c r="L11" i="10" s="1"/>
  <c r="M11" i="10" s="1"/>
  <c r="G12" i="10"/>
  <c r="I12" i="10"/>
  <c r="G13" i="10"/>
  <c r="I13" i="10"/>
  <c r="G14" i="10"/>
  <c r="I14" i="10"/>
  <c r="J14" i="10" s="1"/>
  <c r="G15" i="10"/>
  <c r="H15" i="10" s="1"/>
  <c r="I15" i="10"/>
  <c r="G16" i="10"/>
  <c r="I16" i="10"/>
  <c r="L16" i="10" s="1"/>
  <c r="M16" i="10" s="1"/>
  <c r="G17" i="10"/>
  <c r="I17" i="10"/>
  <c r="I72" i="10" s="1"/>
  <c r="G18" i="10"/>
  <c r="I18" i="10"/>
  <c r="G20" i="10"/>
  <c r="H16" i="10" s="1"/>
  <c r="I20" i="10"/>
  <c r="H25" i="10"/>
  <c r="J25" i="10"/>
  <c r="H26" i="10"/>
  <c r="J26" i="10"/>
  <c r="H27" i="10"/>
  <c r="J27" i="10"/>
  <c r="H28" i="10"/>
  <c r="J28" i="10"/>
  <c r="H29" i="10"/>
  <c r="J29" i="10"/>
  <c r="H30" i="10"/>
  <c r="J30" i="10"/>
  <c r="H31" i="10"/>
  <c r="J31" i="10"/>
  <c r="H32" i="10"/>
  <c r="J32" i="10"/>
  <c r="H33" i="10"/>
  <c r="J33" i="10"/>
  <c r="H34" i="10"/>
  <c r="J34" i="10"/>
  <c r="H35" i="10"/>
  <c r="J35" i="10"/>
  <c r="H36" i="10"/>
  <c r="J36" i="10"/>
  <c r="G43" i="10"/>
  <c r="I43" i="10"/>
  <c r="G44" i="10"/>
  <c r="H44" i="10" s="1"/>
  <c r="I44" i="10"/>
  <c r="G45" i="10"/>
  <c r="I45" i="10"/>
  <c r="I64" i="10" s="1"/>
  <c r="G46" i="10"/>
  <c r="H46" i="10" s="1"/>
  <c r="I46" i="10"/>
  <c r="G47" i="10"/>
  <c r="I47" i="10"/>
  <c r="G48" i="10"/>
  <c r="I48" i="10"/>
  <c r="G49" i="10"/>
  <c r="I49" i="10"/>
  <c r="G50" i="10"/>
  <c r="H50" i="10" s="1"/>
  <c r="I50" i="10"/>
  <c r="I69" i="10"/>
  <c r="G51" i="10"/>
  <c r="H51" i="10" s="1"/>
  <c r="I51" i="10"/>
  <c r="G52" i="10"/>
  <c r="G71" i="10" s="1"/>
  <c r="I52" i="10"/>
  <c r="I71" i="10" s="1"/>
  <c r="G53" i="10"/>
  <c r="G72" i="10"/>
  <c r="I53" i="10"/>
  <c r="G54" i="10"/>
  <c r="I54" i="10"/>
  <c r="G55" i="10"/>
  <c r="I55" i="10"/>
  <c r="G56" i="10"/>
  <c r="I56" i="10"/>
  <c r="C19" i="10"/>
  <c r="D19" i="10"/>
  <c r="E8" i="6"/>
  <c r="E9" i="6"/>
  <c r="E10" i="6"/>
  <c r="E11" i="6"/>
  <c r="E12" i="6"/>
  <c r="E13" i="6"/>
  <c r="E14" i="6"/>
  <c r="E15" i="6"/>
  <c r="E16" i="6"/>
  <c r="E17" i="6"/>
  <c r="E18" i="6"/>
  <c r="E19" i="6"/>
  <c r="H7" i="2"/>
  <c r="J7" i="2"/>
  <c r="H8" i="2"/>
  <c r="J8" i="2"/>
  <c r="H9" i="2"/>
  <c r="J9" i="2"/>
  <c r="H10" i="2"/>
  <c r="H42" i="2" s="1"/>
  <c r="H51" i="2" s="1"/>
  <c r="J10" i="2"/>
  <c r="H11" i="2"/>
  <c r="J11" i="2"/>
  <c r="H12" i="2"/>
  <c r="J12" i="2"/>
  <c r="J44" i="2" s="1"/>
  <c r="H13" i="2"/>
  <c r="H45" i="2" s="1"/>
  <c r="J13" i="2"/>
  <c r="H14" i="2"/>
  <c r="J14" i="2"/>
  <c r="J46" i="2" s="1"/>
  <c r="H15" i="2"/>
  <c r="J15" i="2"/>
  <c r="H16" i="2"/>
  <c r="H48" i="2"/>
  <c r="J16" i="2"/>
  <c r="H17" i="2"/>
  <c r="J17" i="2"/>
  <c r="H18" i="2"/>
  <c r="J18" i="2"/>
  <c r="J50" i="2"/>
  <c r="H23" i="2"/>
  <c r="J23" i="2"/>
  <c r="H24" i="2"/>
  <c r="J24" i="2"/>
  <c r="H25" i="2"/>
  <c r="J25" i="2"/>
  <c r="H26" i="2"/>
  <c r="J26" i="2"/>
  <c r="J42" i="2" s="1"/>
  <c r="H27" i="2"/>
  <c r="J27" i="2"/>
  <c r="H28" i="2"/>
  <c r="H44" i="2" s="1"/>
  <c r="J28" i="2"/>
  <c r="H29" i="2"/>
  <c r="J29" i="2"/>
  <c r="J45" i="2" s="1"/>
  <c r="H30" i="2"/>
  <c r="H46" i="2" s="1"/>
  <c r="J30" i="2"/>
  <c r="H31" i="2"/>
  <c r="J31" i="2"/>
  <c r="J47" i="2" s="1"/>
  <c r="H32" i="2"/>
  <c r="J32" i="2"/>
  <c r="J48" i="2" s="1"/>
  <c r="H33" i="2"/>
  <c r="H49" i="2" s="1"/>
  <c r="J33" i="2"/>
  <c r="H34" i="2"/>
  <c r="H50" i="2" s="1"/>
  <c r="J34" i="2"/>
  <c r="H39" i="2"/>
  <c r="H41" i="2"/>
  <c r="J41" i="2"/>
  <c r="H43" i="2"/>
  <c r="J43" i="2"/>
  <c r="H47" i="2"/>
  <c r="J49" i="2"/>
  <c r="C19" i="2"/>
  <c r="D19" i="2"/>
  <c r="G7" i="9"/>
  <c r="J7" i="9"/>
  <c r="G8" i="9"/>
  <c r="J8" i="9"/>
  <c r="G9" i="9"/>
  <c r="J9" i="9"/>
  <c r="J64" i="9" s="1"/>
  <c r="L9" i="9"/>
  <c r="M9" i="9" s="1"/>
  <c r="G10" i="9"/>
  <c r="L10" i="9" s="1"/>
  <c r="M10" i="9" s="1"/>
  <c r="J10" i="9"/>
  <c r="G11" i="9"/>
  <c r="J11" i="9"/>
  <c r="G12" i="9"/>
  <c r="L12" i="9" s="1"/>
  <c r="J12" i="9"/>
  <c r="G13" i="9"/>
  <c r="L13" i="9" s="1"/>
  <c r="M13" i="9" s="1"/>
  <c r="J13" i="9"/>
  <c r="G14" i="9"/>
  <c r="L14" i="9"/>
  <c r="J14" i="9"/>
  <c r="G15" i="9"/>
  <c r="J15" i="9"/>
  <c r="G16" i="9"/>
  <c r="J16" i="9"/>
  <c r="G17" i="9"/>
  <c r="L17" i="9" s="1"/>
  <c r="M17" i="9" s="1"/>
  <c r="H17" i="9"/>
  <c r="J17" i="9"/>
  <c r="G18" i="9"/>
  <c r="L18" i="9" s="1"/>
  <c r="M18" i="9" s="1"/>
  <c r="J18" i="9"/>
  <c r="G20" i="9"/>
  <c r="G25" i="9"/>
  <c r="J25" i="9"/>
  <c r="J62" i="9"/>
  <c r="G26" i="9"/>
  <c r="J26" i="9"/>
  <c r="G27" i="9"/>
  <c r="H27" i="9"/>
  <c r="J27" i="9"/>
  <c r="G28" i="9"/>
  <c r="G65" i="9"/>
  <c r="J28" i="9"/>
  <c r="G29" i="9"/>
  <c r="J29" i="9"/>
  <c r="J66" i="9"/>
  <c r="G30" i="9"/>
  <c r="H30" i="9" s="1"/>
  <c r="J30" i="9"/>
  <c r="G31" i="9"/>
  <c r="H31" i="9"/>
  <c r="J31" i="9"/>
  <c r="G32" i="9"/>
  <c r="J32" i="9"/>
  <c r="G33" i="9"/>
  <c r="H33" i="9" s="1"/>
  <c r="J33" i="9"/>
  <c r="G34" i="9"/>
  <c r="G71" i="9"/>
  <c r="J34" i="9"/>
  <c r="J71" i="9" s="1"/>
  <c r="G35" i="9"/>
  <c r="H35" i="9"/>
  <c r="H72" i="9"/>
  <c r="J35" i="9"/>
  <c r="G36" i="9"/>
  <c r="H36" i="9"/>
  <c r="J36" i="9"/>
  <c r="G38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I62" i="9"/>
  <c r="G63" i="9"/>
  <c r="I63" i="9"/>
  <c r="I64" i="9"/>
  <c r="I65" i="9"/>
  <c r="J65" i="9"/>
  <c r="G66" i="9"/>
  <c r="I66" i="9"/>
  <c r="I67" i="9"/>
  <c r="G68" i="9"/>
  <c r="I68" i="9"/>
  <c r="J68" i="9"/>
  <c r="I69" i="9"/>
  <c r="I70" i="9"/>
  <c r="J70" i="9"/>
  <c r="I71" i="9"/>
  <c r="G72" i="9"/>
  <c r="I72" i="9"/>
  <c r="G73" i="9"/>
  <c r="I73" i="9"/>
  <c r="J73" i="9"/>
  <c r="I75" i="9"/>
  <c r="C19" i="9"/>
  <c r="D19" i="9"/>
  <c r="G7" i="3"/>
  <c r="J7" i="3"/>
  <c r="G8" i="3"/>
  <c r="L8" i="3"/>
  <c r="J8" i="3"/>
  <c r="G9" i="3"/>
  <c r="L9" i="3" s="1"/>
  <c r="J9" i="3"/>
  <c r="G10" i="3"/>
  <c r="J10" i="3"/>
  <c r="G11" i="3"/>
  <c r="J11" i="3"/>
  <c r="G12" i="3"/>
  <c r="J12" i="3"/>
  <c r="G13" i="3"/>
  <c r="L13" i="3"/>
  <c r="M13" i="3" s="1"/>
  <c r="J13" i="3"/>
  <c r="G14" i="3"/>
  <c r="J14" i="3"/>
  <c r="G15" i="3"/>
  <c r="J15" i="3"/>
  <c r="G16" i="3"/>
  <c r="L16" i="3"/>
  <c r="M16" i="3" s="1"/>
  <c r="J16" i="3"/>
  <c r="G17" i="3"/>
  <c r="L17" i="3"/>
  <c r="J17" i="3"/>
  <c r="J71" i="3" s="1"/>
  <c r="G18" i="3"/>
  <c r="H18" i="3" s="1"/>
  <c r="J18" i="3"/>
  <c r="G20" i="3"/>
  <c r="G25" i="3"/>
  <c r="G61" i="3" s="1"/>
  <c r="I25" i="3"/>
  <c r="I61" i="3"/>
  <c r="G26" i="3"/>
  <c r="I26" i="3"/>
  <c r="I62" i="3"/>
  <c r="G27" i="3"/>
  <c r="I27" i="3"/>
  <c r="I63" i="3"/>
  <c r="G28" i="3"/>
  <c r="H28" i="3" s="1"/>
  <c r="I28" i="3"/>
  <c r="G29" i="3"/>
  <c r="I29" i="3"/>
  <c r="I65" i="3" s="1"/>
  <c r="G30" i="3"/>
  <c r="H30" i="3"/>
  <c r="I30" i="3"/>
  <c r="G31" i="3"/>
  <c r="I31" i="3"/>
  <c r="I67" i="3" s="1"/>
  <c r="G32" i="3"/>
  <c r="H32" i="3"/>
  <c r="I32" i="3"/>
  <c r="J32" i="3" s="1"/>
  <c r="G33" i="3"/>
  <c r="I33" i="3"/>
  <c r="I69" i="3" s="1"/>
  <c r="G34" i="3"/>
  <c r="H34" i="3"/>
  <c r="H70" i="3" s="1"/>
  <c r="I34" i="3"/>
  <c r="G35" i="3"/>
  <c r="H35" i="3" s="1"/>
  <c r="I35" i="3"/>
  <c r="I71" i="3"/>
  <c r="J35" i="3"/>
  <c r="G36" i="3"/>
  <c r="H36" i="3" s="1"/>
  <c r="I36" i="3"/>
  <c r="I72" i="3" s="1"/>
  <c r="G38" i="3"/>
  <c r="H29" i="3" s="1"/>
  <c r="I38" i="3"/>
  <c r="G43" i="3"/>
  <c r="J43" i="3"/>
  <c r="G44" i="3"/>
  <c r="H44" i="3" s="1"/>
  <c r="J44" i="3"/>
  <c r="G45" i="3"/>
  <c r="J45" i="3"/>
  <c r="J55" i="3" s="1"/>
  <c r="G46" i="3"/>
  <c r="H46" i="3" s="1"/>
  <c r="J46" i="3"/>
  <c r="G47" i="3"/>
  <c r="J47" i="3"/>
  <c r="G48" i="3"/>
  <c r="J48" i="3"/>
  <c r="G49" i="3"/>
  <c r="J49" i="3"/>
  <c r="G50" i="3"/>
  <c r="J50" i="3"/>
  <c r="G51" i="3"/>
  <c r="J51" i="3"/>
  <c r="G52" i="3"/>
  <c r="H52" i="3" s="1"/>
  <c r="J52" i="3"/>
  <c r="G53" i="3"/>
  <c r="J53" i="3"/>
  <c r="G54" i="3"/>
  <c r="J54" i="3"/>
  <c r="G56" i="3"/>
  <c r="G68" i="3"/>
  <c r="G71" i="3"/>
  <c r="C19" i="3"/>
  <c r="D19" i="3"/>
  <c r="G7" i="4"/>
  <c r="I7" i="4"/>
  <c r="G8" i="4"/>
  <c r="G63" i="4" s="1"/>
  <c r="I8" i="4"/>
  <c r="L8" i="4"/>
  <c r="M8" i="4"/>
  <c r="G9" i="4"/>
  <c r="I9" i="4"/>
  <c r="G10" i="4"/>
  <c r="I10" i="4"/>
  <c r="G11" i="4"/>
  <c r="I11" i="4"/>
  <c r="I66" i="4" s="1"/>
  <c r="J11" i="4"/>
  <c r="G12" i="4"/>
  <c r="I12" i="4"/>
  <c r="G13" i="4"/>
  <c r="I13" i="4"/>
  <c r="L13" i="4"/>
  <c r="M13" i="4" s="1"/>
  <c r="G14" i="4"/>
  <c r="I14" i="4"/>
  <c r="L14" i="4"/>
  <c r="M14" i="4" s="1"/>
  <c r="G15" i="4"/>
  <c r="H15" i="4"/>
  <c r="I15" i="4"/>
  <c r="I70" i="4" s="1"/>
  <c r="G16" i="4"/>
  <c r="I16" i="4"/>
  <c r="G17" i="4"/>
  <c r="L17" i="4" s="1"/>
  <c r="I17" i="4"/>
  <c r="M17" i="4"/>
  <c r="G18" i="4"/>
  <c r="I18" i="4"/>
  <c r="G20" i="4"/>
  <c r="H12" i="4" s="1"/>
  <c r="H11" i="4"/>
  <c r="I20" i="4"/>
  <c r="G25" i="4"/>
  <c r="H25" i="4" s="1"/>
  <c r="G26" i="4"/>
  <c r="G27" i="4"/>
  <c r="G28" i="4"/>
  <c r="H28" i="4" s="1"/>
  <c r="G29" i="4"/>
  <c r="G30" i="4"/>
  <c r="H30" i="4"/>
  <c r="H37" i="4" s="1"/>
  <c r="G31" i="4"/>
  <c r="H31" i="4" s="1"/>
  <c r="H68" i="4" s="1"/>
  <c r="G32" i="4"/>
  <c r="G33" i="4"/>
  <c r="H33" i="4" s="1"/>
  <c r="G34" i="4"/>
  <c r="H34" i="4"/>
  <c r="G35" i="4"/>
  <c r="H35" i="4" s="1"/>
  <c r="G36" i="4"/>
  <c r="H36" i="4" s="1"/>
  <c r="J36" i="4"/>
  <c r="G38" i="4"/>
  <c r="H29" i="4" s="1"/>
  <c r="H66" i="4" s="1"/>
  <c r="I38" i="4"/>
  <c r="J32" i="4"/>
  <c r="G43" i="4"/>
  <c r="H43" i="4" s="1"/>
  <c r="I43" i="4"/>
  <c r="J43" i="4" s="1"/>
  <c r="G44" i="4"/>
  <c r="I44" i="4"/>
  <c r="J44" i="4" s="1"/>
  <c r="G45" i="4"/>
  <c r="I45" i="4"/>
  <c r="I64" i="4" s="1"/>
  <c r="G46" i="4"/>
  <c r="I46" i="4"/>
  <c r="J46" i="4"/>
  <c r="G47" i="4"/>
  <c r="I47" i="4"/>
  <c r="G48" i="4"/>
  <c r="H48" i="4" s="1"/>
  <c r="I48" i="4"/>
  <c r="J48" i="4" s="1"/>
  <c r="G49" i="4"/>
  <c r="I49" i="4"/>
  <c r="J49" i="4" s="1"/>
  <c r="G50" i="4"/>
  <c r="I50" i="4"/>
  <c r="J50" i="4"/>
  <c r="G51" i="4"/>
  <c r="I51" i="4"/>
  <c r="J51" i="4" s="1"/>
  <c r="J70" i="4" s="1"/>
  <c r="G52" i="4"/>
  <c r="I52" i="4"/>
  <c r="J52" i="4" s="1"/>
  <c r="G53" i="4"/>
  <c r="I53" i="4"/>
  <c r="I72" i="4" s="1"/>
  <c r="G54" i="4"/>
  <c r="I54" i="4"/>
  <c r="J54" i="4"/>
  <c r="G56" i="4"/>
  <c r="I56" i="4"/>
  <c r="J47" i="4" s="1"/>
  <c r="I62" i="4"/>
  <c r="I63" i="4"/>
  <c r="G66" i="4"/>
  <c r="I69" i="4"/>
  <c r="I71" i="4"/>
  <c r="I73" i="4"/>
  <c r="G75" i="4"/>
  <c r="C19" i="4"/>
  <c r="D19" i="4"/>
  <c r="H7" i="8"/>
  <c r="J7" i="8"/>
  <c r="H8" i="8"/>
  <c r="J8" i="8"/>
  <c r="J63" i="8" s="1"/>
  <c r="H9" i="8"/>
  <c r="J9" i="8"/>
  <c r="H10" i="8"/>
  <c r="J10" i="8"/>
  <c r="H11" i="8"/>
  <c r="J11" i="8"/>
  <c r="H12" i="8"/>
  <c r="H67" i="8" s="1"/>
  <c r="J12" i="8"/>
  <c r="J67" i="8" s="1"/>
  <c r="H13" i="8"/>
  <c r="J13" i="8"/>
  <c r="H14" i="8"/>
  <c r="J14" i="8"/>
  <c r="H15" i="8"/>
  <c r="J15" i="8"/>
  <c r="J70" i="8"/>
  <c r="H16" i="8"/>
  <c r="H71" i="8" s="1"/>
  <c r="C16" i="8" s="1"/>
  <c r="J16" i="8"/>
  <c r="H17" i="8"/>
  <c r="J17" i="8"/>
  <c r="H18" i="8"/>
  <c r="J18" i="8"/>
  <c r="G19" i="8"/>
  <c r="H25" i="8"/>
  <c r="H62" i="8" s="1"/>
  <c r="J25" i="8"/>
  <c r="J62" i="8" s="1"/>
  <c r="J74" i="8" s="1"/>
  <c r="H26" i="8"/>
  <c r="J26" i="8"/>
  <c r="H27" i="8"/>
  <c r="J27" i="8"/>
  <c r="H28" i="8"/>
  <c r="J28" i="8"/>
  <c r="J65" i="8" s="1"/>
  <c r="H29" i="8"/>
  <c r="H66" i="8" s="1"/>
  <c r="J29" i="8"/>
  <c r="H30" i="8"/>
  <c r="J30" i="8"/>
  <c r="H31" i="8"/>
  <c r="J31" i="8"/>
  <c r="J68" i="8"/>
  <c r="H32" i="8"/>
  <c r="J32" i="8"/>
  <c r="H33" i="8"/>
  <c r="J33" i="8"/>
  <c r="H34" i="8"/>
  <c r="J34" i="8"/>
  <c r="H35" i="8"/>
  <c r="H72" i="8" s="1"/>
  <c r="J35" i="8"/>
  <c r="H36" i="8"/>
  <c r="J36" i="8"/>
  <c r="H43" i="8"/>
  <c r="J43" i="8"/>
  <c r="H44" i="8"/>
  <c r="J44" i="8"/>
  <c r="H45" i="8"/>
  <c r="J45" i="8"/>
  <c r="H46" i="8"/>
  <c r="H65" i="8" s="1"/>
  <c r="J46" i="8"/>
  <c r="H47" i="8"/>
  <c r="J47" i="8"/>
  <c r="H48" i="8"/>
  <c r="J48" i="8"/>
  <c r="H49" i="8"/>
  <c r="J49" i="8"/>
  <c r="H50" i="8"/>
  <c r="J50" i="8"/>
  <c r="H51" i="8"/>
  <c r="H70" i="8" s="1"/>
  <c r="J51" i="8"/>
  <c r="H52" i="8"/>
  <c r="J52" i="8"/>
  <c r="H53" i="8"/>
  <c r="J53" i="8"/>
  <c r="H54" i="8"/>
  <c r="H73" i="8" s="1"/>
  <c r="J54" i="8"/>
  <c r="G62" i="8"/>
  <c r="I62" i="8"/>
  <c r="G63" i="8"/>
  <c r="I63" i="8"/>
  <c r="G64" i="8"/>
  <c r="H64" i="8"/>
  <c r="I64" i="8"/>
  <c r="G65" i="8"/>
  <c r="I65" i="8"/>
  <c r="G66" i="8"/>
  <c r="I66" i="8"/>
  <c r="G67" i="8"/>
  <c r="I67" i="8"/>
  <c r="G68" i="8"/>
  <c r="I68" i="8"/>
  <c r="G69" i="8"/>
  <c r="I69" i="8"/>
  <c r="G70" i="8"/>
  <c r="I70" i="8"/>
  <c r="G71" i="8"/>
  <c r="I71" i="8"/>
  <c r="G72" i="8"/>
  <c r="I72" i="8"/>
  <c r="G73" i="8"/>
  <c r="I73" i="8"/>
  <c r="G75" i="8"/>
  <c r="I75" i="8"/>
  <c r="G7" i="5"/>
  <c r="I7" i="5"/>
  <c r="G8" i="5"/>
  <c r="I8" i="5"/>
  <c r="G9" i="5"/>
  <c r="I9" i="5"/>
  <c r="I80" i="5" s="1"/>
  <c r="G10" i="5"/>
  <c r="I10" i="5"/>
  <c r="G11" i="5"/>
  <c r="I11" i="5"/>
  <c r="G12" i="5"/>
  <c r="I12" i="5"/>
  <c r="G13" i="5"/>
  <c r="I13" i="5"/>
  <c r="I84" i="5" s="1"/>
  <c r="G14" i="5"/>
  <c r="I14" i="5"/>
  <c r="G15" i="5"/>
  <c r="I15" i="5"/>
  <c r="G16" i="5"/>
  <c r="I16" i="5"/>
  <c r="G17" i="5"/>
  <c r="I17" i="5"/>
  <c r="L17" i="5" s="1"/>
  <c r="M17" i="5" s="1"/>
  <c r="G18" i="5"/>
  <c r="H18" i="5" s="1"/>
  <c r="I18" i="5"/>
  <c r="G20" i="5"/>
  <c r="H12" i="5" s="1"/>
  <c r="I20" i="5"/>
  <c r="G25" i="5"/>
  <c r="G78" i="5" s="1"/>
  <c r="H25" i="5"/>
  <c r="H37" i="5" s="1"/>
  <c r="J25" i="5"/>
  <c r="J37" i="5" s="1"/>
  <c r="G26" i="5"/>
  <c r="J26" i="5"/>
  <c r="G27" i="5"/>
  <c r="H27" i="5"/>
  <c r="J27" i="5"/>
  <c r="G28" i="5"/>
  <c r="H28" i="5" s="1"/>
  <c r="J28" i="5"/>
  <c r="G29" i="5"/>
  <c r="H29" i="5" s="1"/>
  <c r="J29" i="5"/>
  <c r="G30" i="5"/>
  <c r="J30" i="5"/>
  <c r="G31" i="5"/>
  <c r="H31" i="5" s="1"/>
  <c r="J31" i="5"/>
  <c r="G32" i="5"/>
  <c r="H32" i="5" s="1"/>
  <c r="J32" i="5"/>
  <c r="G33" i="5"/>
  <c r="J33" i="5"/>
  <c r="G34" i="5"/>
  <c r="H34" i="5" s="1"/>
  <c r="J34" i="5"/>
  <c r="G35" i="5"/>
  <c r="H35" i="5" s="1"/>
  <c r="J35" i="5"/>
  <c r="G36" i="5"/>
  <c r="G89" i="5" s="1"/>
  <c r="H36" i="5"/>
  <c r="J36" i="5"/>
  <c r="G38" i="5"/>
  <c r="H26" i="5" s="1"/>
  <c r="G43" i="5"/>
  <c r="G44" i="5"/>
  <c r="J44" i="5"/>
  <c r="G45" i="5"/>
  <c r="G46" i="5"/>
  <c r="G47" i="5"/>
  <c r="G48" i="5"/>
  <c r="G49" i="5"/>
  <c r="G50" i="5"/>
  <c r="G51" i="5"/>
  <c r="J51" i="5"/>
  <c r="G52" i="5"/>
  <c r="H52" i="5" s="1"/>
  <c r="H87" i="5" s="1"/>
  <c r="G53" i="5"/>
  <c r="G54" i="5"/>
  <c r="G56" i="5"/>
  <c r="H53" i="5" s="1"/>
  <c r="I56" i="5"/>
  <c r="J48" i="5" s="1"/>
  <c r="G61" i="5"/>
  <c r="H61" i="5" s="1"/>
  <c r="J61" i="5"/>
  <c r="G62" i="5"/>
  <c r="G79" i="5" s="1"/>
  <c r="J62" i="5"/>
  <c r="G63" i="5"/>
  <c r="J63" i="5"/>
  <c r="G64" i="5"/>
  <c r="J64" i="5"/>
  <c r="G65" i="5"/>
  <c r="H65" i="5"/>
  <c r="J65" i="5"/>
  <c r="G66" i="5"/>
  <c r="H66" i="5" s="1"/>
  <c r="J66" i="5"/>
  <c r="G67" i="5"/>
  <c r="H67" i="5" s="1"/>
  <c r="J67" i="5"/>
  <c r="G68" i="5"/>
  <c r="G85" i="5" s="1"/>
  <c r="H68" i="5"/>
  <c r="J68" i="5"/>
  <c r="G69" i="5"/>
  <c r="J69" i="5"/>
  <c r="G70" i="5"/>
  <c r="J70" i="5"/>
  <c r="G71" i="5"/>
  <c r="J71" i="5"/>
  <c r="G72" i="5"/>
  <c r="H72" i="5" s="1"/>
  <c r="J72" i="5"/>
  <c r="G74" i="5"/>
  <c r="H70" i="5" s="1"/>
  <c r="H63" i="5"/>
  <c r="I79" i="5"/>
  <c r="I81" i="5"/>
  <c r="I86" i="5"/>
  <c r="I87" i="5"/>
  <c r="I88" i="5"/>
  <c r="I89" i="5"/>
  <c r="C19" i="5"/>
  <c r="D19" i="5"/>
  <c r="G7" i="12"/>
  <c r="G62" i="12" s="1"/>
  <c r="G8" i="12"/>
  <c r="L8" i="12"/>
  <c r="G9" i="12"/>
  <c r="L9" i="12"/>
  <c r="G10" i="12"/>
  <c r="G11" i="12"/>
  <c r="L11" i="12"/>
  <c r="G12" i="12"/>
  <c r="L12" i="12"/>
  <c r="G13" i="12"/>
  <c r="G14" i="12"/>
  <c r="G15" i="12"/>
  <c r="L15" i="12"/>
  <c r="M15" i="12" s="1"/>
  <c r="G16" i="12"/>
  <c r="L16" i="12" s="1"/>
  <c r="G17" i="12"/>
  <c r="L17" i="12" s="1"/>
  <c r="G18" i="12"/>
  <c r="L18" i="12" s="1"/>
  <c r="G20" i="12"/>
  <c r="H7" i="12" s="1"/>
  <c r="I20" i="12"/>
  <c r="J10" i="12" s="1"/>
  <c r="G25" i="12"/>
  <c r="H25" i="12" s="1"/>
  <c r="I25" i="12"/>
  <c r="G26" i="12"/>
  <c r="G63" i="12" s="1"/>
  <c r="I26" i="12"/>
  <c r="I63" i="12" s="1"/>
  <c r="G27" i="12"/>
  <c r="I27" i="12"/>
  <c r="G28" i="12"/>
  <c r="I28" i="12"/>
  <c r="I65" i="12" s="1"/>
  <c r="G29" i="12"/>
  <c r="H29" i="12" s="1"/>
  <c r="I29" i="12"/>
  <c r="G30" i="12"/>
  <c r="H30" i="12" s="1"/>
  <c r="I30" i="12"/>
  <c r="G31" i="12"/>
  <c r="H31" i="12"/>
  <c r="I31" i="12"/>
  <c r="G32" i="12"/>
  <c r="I32" i="12"/>
  <c r="I69" i="12" s="1"/>
  <c r="G33" i="12"/>
  <c r="H33" i="12"/>
  <c r="I33" i="12"/>
  <c r="G34" i="12"/>
  <c r="H34" i="12" s="1"/>
  <c r="I34" i="12"/>
  <c r="J34" i="12" s="1"/>
  <c r="J71" i="12" s="1"/>
  <c r="G35" i="12"/>
  <c r="H35" i="12" s="1"/>
  <c r="I35" i="12"/>
  <c r="G36" i="12"/>
  <c r="H36" i="12" s="1"/>
  <c r="I36" i="12"/>
  <c r="I73" i="12" s="1"/>
  <c r="G38" i="12"/>
  <c r="H32" i="12" s="1"/>
  <c r="I38" i="12"/>
  <c r="J25" i="12" s="1"/>
  <c r="H43" i="12"/>
  <c r="H55" i="12"/>
  <c r="J43" i="12"/>
  <c r="H44" i="12"/>
  <c r="J44" i="12"/>
  <c r="H45" i="12"/>
  <c r="J45" i="12"/>
  <c r="H46" i="12"/>
  <c r="J46" i="12"/>
  <c r="H47" i="12"/>
  <c r="J47" i="12"/>
  <c r="H48" i="12"/>
  <c r="J48" i="12"/>
  <c r="H49" i="12"/>
  <c r="J49" i="12"/>
  <c r="H50" i="12"/>
  <c r="J50" i="12"/>
  <c r="J55" i="12" s="1"/>
  <c r="H51" i="12"/>
  <c r="J51" i="12"/>
  <c r="H52" i="12"/>
  <c r="J52" i="12"/>
  <c r="H53" i="12"/>
  <c r="J53" i="12"/>
  <c r="H54" i="12"/>
  <c r="J54" i="12"/>
  <c r="I62" i="12"/>
  <c r="I64" i="12"/>
  <c r="I66" i="12"/>
  <c r="I67" i="12"/>
  <c r="I71" i="12"/>
  <c r="I72" i="12"/>
  <c r="G75" i="12"/>
  <c r="C19" i="12"/>
  <c r="D19" i="12"/>
  <c r="H7" i="1"/>
  <c r="J7" i="1"/>
  <c r="L7" i="1"/>
  <c r="M7" i="1" s="1"/>
  <c r="H8" i="1"/>
  <c r="J8" i="1"/>
  <c r="L8" i="1"/>
  <c r="M8" i="1" s="1"/>
  <c r="H9" i="1"/>
  <c r="J9" i="1"/>
  <c r="L9" i="1"/>
  <c r="M9" i="1"/>
  <c r="H10" i="1"/>
  <c r="J10" i="1"/>
  <c r="L10" i="1"/>
  <c r="M10" i="1" s="1"/>
  <c r="H11" i="1"/>
  <c r="H82" i="1" s="1"/>
  <c r="J11" i="1"/>
  <c r="J82" i="1" s="1"/>
  <c r="L11" i="1"/>
  <c r="M11" i="1" s="1"/>
  <c r="H12" i="1"/>
  <c r="J12" i="1"/>
  <c r="L12" i="1"/>
  <c r="M12" i="1" s="1"/>
  <c r="H13" i="1"/>
  <c r="J13" i="1"/>
  <c r="L13" i="1"/>
  <c r="M13" i="1" s="1"/>
  <c r="H14" i="1"/>
  <c r="J14" i="1"/>
  <c r="L14" i="1"/>
  <c r="M14" i="1" s="1"/>
  <c r="H15" i="1"/>
  <c r="J15" i="1"/>
  <c r="J86" i="1" s="1"/>
  <c r="L15" i="1"/>
  <c r="M15" i="1" s="1"/>
  <c r="H16" i="1"/>
  <c r="J16" i="1"/>
  <c r="L16" i="1"/>
  <c r="M16" i="1" s="1"/>
  <c r="H17" i="1"/>
  <c r="J17" i="1"/>
  <c r="L17" i="1"/>
  <c r="M17" i="1"/>
  <c r="H18" i="1"/>
  <c r="J18" i="1"/>
  <c r="L18" i="1"/>
  <c r="M18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J37" i="1" s="1"/>
  <c r="H32" i="1"/>
  <c r="J32" i="1"/>
  <c r="H33" i="1"/>
  <c r="J33" i="1"/>
  <c r="H34" i="1"/>
  <c r="J34" i="1"/>
  <c r="H35" i="1"/>
  <c r="J35" i="1"/>
  <c r="J88" i="1" s="1"/>
  <c r="H36" i="1"/>
  <c r="J36" i="1"/>
  <c r="H43" i="1"/>
  <c r="J43" i="1"/>
  <c r="H44" i="1"/>
  <c r="J44" i="1"/>
  <c r="H45" i="1"/>
  <c r="J45" i="1"/>
  <c r="H46" i="1"/>
  <c r="J46" i="1"/>
  <c r="H47" i="1"/>
  <c r="J47" i="1"/>
  <c r="H48" i="1"/>
  <c r="J48" i="1"/>
  <c r="J83" i="1" s="1"/>
  <c r="H49" i="1"/>
  <c r="J49" i="1"/>
  <c r="H50" i="1"/>
  <c r="J50" i="1"/>
  <c r="H51" i="1"/>
  <c r="J51" i="1"/>
  <c r="H52" i="1"/>
  <c r="J52" i="1"/>
  <c r="H53" i="1"/>
  <c r="J53" i="1"/>
  <c r="H54" i="1"/>
  <c r="J54" i="1"/>
  <c r="G60" i="1"/>
  <c r="J60" i="1"/>
  <c r="G61" i="1"/>
  <c r="G79" i="1" s="1"/>
  <c r="J61" i="1"/>
  <c r="G62" i="1"/>
  <c r="H62" i="1" s="1"/>
  <c r="J62" i="1"/>
  <c r="G63" i="1"/>
  <c r="H63" i="1" s="1"/>
  <c r="J63" i="1"/>
  <c r="G64" i="1"/>
  <c r="H64" i="1" s="1"/>
  <c r="J64" i="1"/>
  <c r="G65" i="1"/>
  <c r="J65" i="1"/>
  <c r="G66" i="1"/>
  <c r="J66" i="1"/>
  <c r="J72" i="1" s="1"/>
  <c r="G67" i="1"/>
  <c r="J67" i="1"/>
  <c r="G68" i="1"/>
  <c r="G86" i="1" s="1"/>
  <c r="J68" i="1"/>
  <c r="G69" i="1"/>
  <c r="H69" i="1" s="1"/>
  <c r="H87" i="1" s="1"/>
  <c r="J69" i="1"/>
  <c r="G70" i="1"/>
  <c r="J70" i="1"/>
  <c r="G71" i="1"/>
  <c r="J71" i="1"/>
  <c r="G73" i="1"/>
  <c r="G78" i="1"/>
  <c r="I78" i="1"/>
  <c r="I79" i="1"/>
  <c r="I80" i="1"/>
  <c r="I81" i="1"/>
  <c r="I82" i="1"/>
  <c r="G83" i="1"/>
  <c r="I83" i="1"/>
  <c r="I84" i="1"/>
  <c r="I85" i="1"/>
  <c r="I86" i="1"/>
  <c r="G87" i="1"/>
  <c r="I87" i="1"/>
  <c r="G88" i="1"/>
  <c r="I88" i="1"/>
  <c r="I89" i="1"/>
  <c r="I91" i="1"/>
  <c r="C19" i="1"/>
  <c r="D19" i="1"/>
  <c r="G7" i="11"/>
  <c r="G8" i="11"/>
  <c r="G9" i="11"/>
  <c r="L9" i="11" s="1"/>
  <c r="G10" i="11"/>
  <c r="L10" i="11" s="1"/>
  <c r="M10" i="11" s="1"/>
  <c r="G11" i="11"/>
  <c r="L11" i="11" s="1"/>
  <c r="M11" i="11" s="1"/>
  <c r="G12" i="11"/>
  <c r="H12" i="11" s="1"/>
  <c r="G13" i="11"/>
  <c r="G14" i="11"/>
  <c r="G15" i="11"/>
  <c r="G16" i="11"/>
  <c r="L16" i="11" s="1"/>
  <c r="G17" i="11"/>
  <c r="L17" i="11"/>
  <c r="M17" i="11" s="1"/>
  <c r="J17" i="11"/>
  <c r="G18" i="11"/>
  <c r="H18" i="11" s="1"/>
  <c r="G20" i="11"/>
  <c r="I20" i="11"/>
  <c r="J9" i="11" s="1"/>
  <c r="G25" i="11"/>
  <c r="J25" i="11"/>
  <c r="G26" i="11"/>
  <c r="J26" i="11"/>
  <c r="G27" i="11"/>
  <c r="J27" i="11"/>
  <c r="G28" i="11"/>
  <c r="J28" i="11"/>
  <c r="G29" i="11"/>
  <c r="J29" i="11"/>
  <c r="G30" i="11"/>
  <c r="J30" i="11"/>
  <c r="G31" i="11"/>
  <c r="J31" i="11"/>
  <c r="G32" i="11"/>
  <c r="H32" i="11" s="1"/>
  <c r="J32" i="11"/>
  <c r="G33" i="11"/>
  <c r="J33" i="11"/>
  <c r="G34" i="11"/>
  <c r="J34" i="11"/>
  <c r="G35" i="11"/>
  <c r="J35" i="11"/>
  <c r="G36" i="11"/>
  <c r="J36" i="11"/>
  <c r="G38" i="11"/>
  <c r="G43" i="11"/>
  <c r="J43" i="11"/>
  <c r="G44" i="11"/>
  <c r="J44" i="11"/>
  <c r="G45" i="11"/>
  <c r="J45" i="11"/>
  <c r="G46" i="11"/>
  <c r="J46" i="11"/>
  <c r="G47" i="11"/>
  <c r="H47" i="11" s="1"/>
  <c r="J47" i="11"/>
  <c r="G48" i="11"/>
  <c r="J48" i="11"/>
  <c r="G49" i="11"/>
  <c r="J49" i="11"/>
  <c r="G50" i="11"/>
  <c r="G69" i="11" s="1"/>
  <c r="J50" i="11"/>
  <c r="G51" i="11"/>
  <c r="J51" i="11"/>
  <c r="G52" i="11"/>
  <c r="J52" i="11"/>
  <c r="G53" i="11"/>
  <c r="G72" i="11" s="1"/>
  <c r="J53" i="11"/>
  <c r="G54" i="11"/>
  <c r="H54" i="11" s="1"/>
  <c r="H73" i="11" s="1"/>
  <c r="J54" i="11"/>
  <c r="G56" i="11"/>
  <c r="H45" i="11" s="1"/>
  <c r="H49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C19" i="11"/>
  <c r="D19" i="11"/>
  <c r="G110" i="11"/>
  <c r="H110" i="11"/>
  <c r="I110" i="11"/>
  <c r="J110" i="11"/>
  <c r="J26" i="3"/>
  <c r="J62" i="3"/>
  <c r="J31" i="3"/>
  <c r="J67" i="3" s="1"/>
  <c r="H53" i="11"/>
  <c r="L15" i="11"/>
  <c r="M15" i="11"/>
  <c r="G71" i="12"/>
  <c r="G67" i="12"/>
  <c r="G65" i="12"/>
  <c r="J15" i="12"/>
  <c r="L10" i="12"/>
  <c r="G80" i="5"/>
  <c r="J54" i="5"/>
  <c r="J50" i="5"/>
  <c r="J73" i="8"/>
  <c r="J71" i="8"/>
  <c r="J69" i="8"/>
  <c r="H26" i="4"/>
  <c r="H17" i="4"/>
  <c r="J16" i="4"/>
  <c r="J71" i="4" s="1"/>
  <c r="G65" i="4"/>
  <c r="H9" i="4"/>
  <c r="G72" i="3"/>
  <c r="J27" i="4"/>
  <c r="J37" i="4" s="1"/>
  <c r="J31" i="4"/>
  <c r="J35" i="4"/>
  <c r="J36" i="12"/>
  <c r="J35" i="12"/>
  <c r="J32" i="12"/>
  <c r="J29" i="12"/>
  <c r="J28" i="12"/>
  <c r="J65" i="12" s="1"/>
  <c r="J26" i="12"/>
  <c r="J16" i="12"/>
  <c r="J8" i="12"/>
  <c r="J34" i="4"/>
  <c r="J29" i="4"/>
  <c r="J26" i="4"/>
  <c r="H10" i="4"/>
  <c r="H65" i="4" s="1"/>
  <c r="H15" i="11"/>
  <c r="J17" i="12"/>
  <c r="J72" i="12"/>
  <c r="J13" i="12"/>
  <c r="J9" i="12"/>
  <c r="J28" i="4"/>
  <c r="H13" i="4"/>
  <c r="H8" i="4"/>
  <c r="H62" i="16"/>
  <c r="J18" i="12"/>
  <c r="J14" i="12"/>
  <c r="J69" i="12"/>
  <c r="H54" i="4"/>
  <c r="H53" i="4"/>
  <c r="H52" i="4"/>
  <c r="H50" i="4"/>
  <c r="H69" i="4" s="1"/>
  <c r="H49" i="4"/>
  <c r="H47" i="4"/>
  <c r="H46" i="4"/>
  <c r="H45" i="4"/>
  <c r="H44" i="4"/>
  <c r="J33" i="4"/>
  <c r="J30" i="4"/>
  <c r="H27" i="4"/>
  <c r="J25" i="4"/>
  <c r="J15" i="4"/>
  <c r="H14" i="4"/>
  <c r="H15" i="3"/>
  <c r="H11" i="3"/>
  <c r="H7" i="3"/>
  <c r="H26" i="9"/>
  <c r="J40" i="2"/>
  <c r="J54" i="10"/>
  <c r="J52" i="10"/>
  <c r="H13" i="10"/>
  <c r="H11" i="10"/>
  <c r="H9" i="10"/>
  <c r="J17" i="16"/>
  <c r="J72" i="16" s="1"/>
  <c r="J15" i="16"/>
  <c r="J70" i="16"/>
  <c r="J13" i="16"/>
  <c r="J68" i="16" s="1"/>
  <c r="J11" i="16"/>
  <c r="J66" i="16"/>
  <c r="J9" i="16"/>
  <c r="J64" i="16" s="1"/>
  <c r="J18" i="13"/>
  <c r="J73" i="13"/>
  <c r="L17" i="13"/>
  <c r="M17" i="13"/>
  <c r="J14" i="13"/>
  <c r="J69" i="13" s="1"/>
  <c r="L13" i="13"/>
  <c r="M13" i="13"/>
  <c r="H11" i="13"/>
  <c r="H66" i="13"/>
  <c r="J10" i="13"/>
  <c r="J65" i="13"/>
  <c r="H7" i="13"/>
  <c r="J11" i="17"/>
  <c r="J66" i="17" s="1"/>
  <c r="L18" i="14"/>
  <c r="M18" i="14"/>
  <c r="M16" i="14"/>
  <c r="M15" i="14"/>
  <c r="H13" i="14"/>
  <c r="H68" i="14"/>
  <c r="L15" i="15"/>
  <c r="L11" i="15"/>
  <c r="M11" i="15"/>
  <c r="L7" i="15"/>
  <c r="J18" i="18"/>
  <c r="J73" i="18"/>
  <c r="L17" i="18"/>
  <c r="M17" i="18"/>
  <c r="H15" i="18"/>
  <c r="H70" i="18"/>
  <c r="J14" i="18"/>
  <c r="J69" i="18" s="1"/>
  <c r="L13" i="18"/>
  <c r="M13" i="18"/>
  <c r="H11" i="18"/>
  <c r="H66" i="18" s="1"/>
  <c r="J10" i="18"/>
  <c r="J65" i="18"/>
  <c r="L9" i="18"/>
  <c r="M9" i="18" s="1"/>
  <c r="H7" i="18"/>
  <c r="J16" i="19"/>
  <c r="J71" i="19" s="1"/>
  <c r="J12" i="19"/>
  <c r="J67" i="19" s="1"/>
  <c r="J8" i="19"/>
  <c r="J63" i="19"/>
  <c r="L18" i="3"/>
  <c r="M18" i="3" s="1"/>
  <c r="H16" i="3"/>
  <c r="L14" i="3"/>
  <c r="M14" i="3"/>
  <c r="L10" i="3"/>
  <c r="M10" i="3"/>
  <c r="H8" i="3"/>
  <c r="H29" i="9"/>
  <c r="H25" i="9"/>
  <c r="L16" i="9"/>
  <c r="L8" i="9"/>
  <c r="H16" i="13"/>
  <c r="H71" i="13" s="1"/>
  <c r="H12" i="13"/>
  <c r="H67" i="13"/>
  <c r="J11" i="13"/>
  <c r="J66" i="13" s="1"/>
  <c r="J7" i="13"/>
  <c r="H16" i="18"/>
  <c r="H71" i="18"/>
  <c r="H12" i="18"/>
  <c r="H67" i="18" s="1"/>
  <c r="J11" i="18"/>
  <c r="J66" i="18"/>
  <c r="J7" i="18"/>
  <c r="H17" i="3"/>
  <c r="H13" i="3"/>
  <c r="H9" i="3"/>
  <c r="H47" i="10"/>
  <c r="H10" i="10"/>
  <c r="J18" i="16"/>
  <c r="J73" i="16" s="1"/>
  <c r="J16" i="16"/>
  <c r="J71" i="16"/>
  <c r="J14" i="16"/>
  <c r="J69" i="16" s="1"/>
  <c r="J12" i="16"/>
  <c r="J67" i="16"/>
  <c r="J10" i="16"/>
  <c r="J65" i="16" s="1"/>
  <c r="J8" i="16"/>
  <c r="J63" i="16"/>
  <c r="H17" i="13"/>
  <c r="H72" i="13" s="1"/>
  <c r="J16" i="13"/>
  <c r="J71" i="13"/>
  <c r="H13" i="13"/>
  <c r="H68" i="13"/>
  <c r="J12" i="13"/>
  <c r="J67" i="13"/>
  <c r="H9" i="13"/>
  <c r="H64" i="13" s="1"/>
  <c r="J8" i="13"/>
  <c r="J63" i="13"/>
  <c r="J18" i="17"/>
  <c r="J73" i="17"/>
  <c r="H17" i="18"/>
  <c r="H72" i="18" s="1"/>
  <c r="J16" i="18"/>
  <c r="J71" i="18"/>
  <c r="H13" i="18"/>
  <c r="H68" i="18" s="1"/>
  <c r="J12" i="18"/>
  <c r="J67" i="18"/>
  <c r="H9" i="18"/>
  <c r="H64" i="18" s="1"/>
  <c r="J8" i="18"/>
  <c r="J63" i="18"/>
  <c r="H40" i="2"/>
  <c r="I73" i="16"/>
  <c r="I71" i="16"/>
  <c r="I69" i="16"/>
  <c r="I67" i="16"/>
  <c r="I63" i="16"/>
  <c r="G73" i="13"/>
  <c r="G71" i="13"/>
  <c r="G69" i="13"/>
  <c r="G67" i="13"/>
  <c r="G65" i="13"/>
  <c r="G63" i="13"/>
  <c r="J17" i="13"/>
  <c r="J72" i="13"/>
  <c r="J13" i="13"/>
  <c r="J68" i="13"/>
  <c r="I73" i="17"/>
  <c r="I71" i="17"/>
  <c r="I69" i="17"/>
  <c r="I67" i="17"/>
  <c r="I65" i="17"/>
  <c r="I63" i="17"/>
  <c r="G73" i="18"/>
  <c r="G71" i="18"/>
  <c r="G69" i="18"/>
  <c r="G67" i="18"/>
  <c r="G65" i="18"/>
  <c r="G63" i="18"/>
  <c r="J17" i="18"/>
  <c r="J72" i="18"/>
  <c r="J13" i="18"/>
  <c r="I62" i="19"/>
  <c r="J15" i="19"/>
  <c r="J70" i="19" s="1"/>
  <c r="H62" i="18"/>
  <c r="H62" i="13"/>
  <c r="J62" i="13"/>
  <c r="J63" i="12"/>
  <c r="H72" i="4"/>
  <c r="L14" i="11"/>
  <c r="J79" i="1"/>
  <c r="H16" i="4"/>
  <c r="H71" i="4"/>
  <c r="G71" i="4"/>
  <c r="L16" i="4"/>
  <c r="M16" i="4" s="1"/>
  <c r="H27" i="3"/>
  <c r="G63" i="3"/>
  <c r="H27" i="12"/>
  <c r="G64" i="12"/>
  <c r="J72" i="8"/>
  <c r="D17" i="8" s="1"/>
  <c r="H69" i="8"/>
  <c r="J89" i="1"/>
  <c r="H30" i="5"/>
  <c r="G83" i="5"/>
  <c r="J14" i="5"/>
  <c r="J85" i="5"/>
  <c r="J15" i="5"/>
  <c r="J19" i="5" s="1"/>
  <c r="I91" i="5"/>
  <c r="J17" i="5"/>
  <c r="J9" i="5"/>
  <c r="H16" i="5"/>
  <c r="L16" i="5"/>
  <c r="M16" i="5" s="1"/>
  <c r="H8" i="5"/>
  <c r="L8" i="5"/>
  <c r="M8" i="5" s="1"/>
  <c r="J13" i="5"/>
  <c r="G89" i="1"/>
  <c r="J78" i="1"/>
  <c r="J19" i="1"/>
  <c r="H63" i="4"/>
  <c r="H36" i="11"/>
  <c r="H34" i="11"/>
  <c r="J15" i="11"/>
  <c r="I75" i="11"/>
  <c r="J13" i="11"/>
  <c r="J68" i="11" s="1"/>
  <c r="H55" i="1"/>
  <c r="J85" i="1"/>
  <c r="J16" i="5"/>
  <c r="J10" i="5"/>
  <c r="J37" i="8"/>
  <c r="H32" i="4"/>
  <c r="G69" i="4"/>
  <c r="J12" i="4"/>
  <c r="J67" i="4" s="1"/>
  <c r="I67" i="4"/>
  <c r="L12" i="4"/>
  <c r="M12" i="4"/>
  <c r="L12" i="3"/>
  <c r="M12" i="3"/>
  <c r="G66" i="3"/>
  <c r="H12" i="3"/>
  <c r="H12" i="9"/>
  <c r="H67" i="9"/>
  <c r="G67" i="9"/>
  <c r="L14" i="13"/>
  <c r="M14" i="13"/>
  <c r="H14" i="13"/>
  <c r="H69" i="13" s="1"/>
  <c r="H11" i="17"/>
  <c r="H66" i="17"/>
  <c r="L11" i="17"/>
  <c r="M11" i="17" s="1"/>
  <c r="G66" i="17"/>
  <c r="L12" i="14"/>
  <c r="M12" i="14" s="1"/>
  <c r="H12" i="14"/>
  <c r="H67" i="14" s="1"/>
  <c r="G67" i="14"/>
  <c r="J73" i="12"/>
  <c r="J55" i="11"/>
  <c r="H30" i="11"/>
  <c r="H28" i="11"/>
  <c r="J72" i="11"/>
  <c r="L12" i="11"/>
  <c r="M12" i="11" s="1"/>
  <c r="L7" i="11"/>
  <c r="M7" i="11" s="1"/>
  <c r="L13" i="12"/>
  <c r="M13" i="12"/>
  <c r="G68" i="12"/>
  <c r="I82" i="5"/>
  <c r="J11" i="5"/>
  <c r="J39" i="2"/>
  <c r="J51" i="2"/>
  <c r="L8" i="10"/>
  <c r="M8" i="10" s="1"/>
  <c r="H8" i="10"/>
  <c r="J7" i="17"/>
  <c r="I75" i="17"/>
  <c r="J17" i="17"/>
  <c r="J72" i="17" s="1"/>
  <c r="J13" i="17"/>
  <c r="J68" i="17" s="1"/>
  <c r="J9" i="17"/>
  <c r="J64" i="17" s="1"/>
  <c r="J16" i="17"/>
  <c r="J71" i="17"/>
  <c r="J12" i="17"/>
  <c r="J67" i="17" s="1"/>
  <c r="J8" i="17"/>
  <c r="J63" i="17" s="1"/>
  <c r="G73" i="20"/>
  <c r="L12" i="20"/>
  <c r="G70" i="20"/>
  <c r="J62" i="18"/>
  <c r="J14" i="17"/>
  <c r="J69" i="17" s="1"/>
  <c r="L18" i="5"/>
  <c r="M18" i="5"/>
  <c r="H12" i="12"/>
  <c r="H67" i="12" s="1"/>
  <c r="G80" i="1"/>
  <c r="H33" i="11"/>
  <c r="J8" i="11"/>
  <c r="J63" i="11"/>
  <c r="G70" i="11"/>
  <c r="J11" i="11"/>
  <c r="J66" i="11" s="1"/>
  <c r="H66" i="1"/>
  <c r="H84" i="1" s="1"/>
  <c r="G84" i="1"/>
  <c r="G81" i="1"/>
  <c r="I68" i="12"/>
  <c r="J31" i="12"/>
  <c r="J68" i="12" s="1"/>
  <c r="G70" i="12"/>
  <c r="J73" i="5"/>
  <c r="J12" i="5"/>
  <c r="J83" i="5"/>
  <c r="H9" i="5"/>
  <c r="L9" i="5"/>
  <c r="M9" i="5" s="1"/>
  <c r="H63" i="8"/>
  <c r="H74" i="8" s="1"/>
  <c r="H37" i="8"/>
  <c r="L9" i="4"/>
  <c r="M9" i="4"/>
  <c r="G64" i="4"/>
  <c r="H49" i="3"/>
  <c r="G67" i="3"/>
  <c r="G68" i="10"/>
  <c r="H51" i="5"/>
  <c r="H46" i="5"/>
  <c r="G91" i="5"/>
  <c r="H11" i="5"/>
  <c r="L7" i="5"/>
  <c r="M7" i="5"/>
  <c r="I78" i="5"/>
  <c r="J64" i="8"/>
  <c r="J10" i="4"/>
  <c r="J65" i="4"/>
  <c r="I65" i="4"/>
  <c r="L15" i="3"/>
  <c r="M15" i="3" s="1"/>
  <c r="G69" i="3"/>
  <c r="J37" i="9"/>
  <c r="J63" i="9"/>
  <c r="J19" i="9"/>
  <c r="H48" i="10"/>
  <c r="G67" i="10"/>
  <c r="L15" i="16"/>
  <c r="M15" i="16" s="1"/>
  <c r="G70" i="16"/>
  <c r="L16" i="17"/>
  <c r="M16" i="17" s="1"/>
  <c r="H16" i="17"/>
  <c r="H71" i="17"/>
  <c r="G71" i="17"/>
  <c r="H7" i="17"/>
  <c r="G62" i="17"/>
  <c r="L7" i="17"/>
  <c r="M7" i="17" s="1"/>
  <c r="L15" i="20"/>
  <c r="I73" i="20"/>
  <c r="G62" i="19"/>
  <c r="J12" i="12"/>
  <c r="J27" i="12"/>
  <c r="G82" i="5"/>
  <c r="G86" i="5"/>
  <c r="J7" i="12"/>
  <c r="J11" i="12"/>
  <c r="J66" i="12"/>
  <c r="L14" i="12"/>
  <c r="M14" i="12" s="1"/>
  <c r="H35" i="11"/>
  <c r="H17" i="11"/>
  <c r="H72" i="11" s="1"/>
  <c r="H68" i="1"/>
  <c r="H86" i="1"/>
  <c r="H61" i="1"/>
  <c r="H79" i="1"/>
  <c r="H19" i="1"/>
  <c r="G72" i="12"/>
  <c r="H69" i="5"/>
  <c r="H49" i="5"/>
  <c r="H33" i="5"/>
  <c r="J18" i="5"/>
  <c r="J89" i="5"/>
  <c r="J8" i="5"/>
  <c r="J79" i="5"/>
  <c r="H7" i="5"/>
  <c r="H68" i="8"/>
  <c r="J53" i="4"/>
  <c r="L11" i="4"/>
  <c r="M11" i="4"/>
  <c r="L10" i="4"/>
  <c r="M10" i="4" s="1"/>
  <c r="J19" i="3"/>
  <c r="H10" i="9"/>
  <c r="H18" i="9"/>
  <c r="H73" i="9"/>
  <c r="H16" i="9"/>
  <c r="H71" i="9" s="1"/>
  <c r="H15" i="9"/>
  <c r="H70" i="9" s="1"/>
  <c r="J69" i="9"/>
  <c r="H11" i="9"/>
  <c r="H66" i="9"/>
  <c r="L11" i="9"/>
  <c r="M11" i="9"/>
  <c r="H8" i="9"/>
  <c r="H63" i="9" s="1"/>
  <c r="L10" i="10"/>
  <c r="M10" i="10" s="1"/>
  <c r="I65" i="10"/>
  <c r="H7" i="10"/>
  <c r="H17" i="17"/>
  <c r="H72" i="17"/>
  <c r="G72" i="17"/>
  <c r="L17" i="17"/>
  <c r="M17" i="17" s="1"/>
  <c r="L15" i="17"/>
  <c r="M15" i="17"/>
  <c r="I70" i="17"/>
  <c r="I70" i="20"/>
  <c r="I65" i="20"/>
  <c r="G76" i="20"/>
  <c r="L18" i="20"/>
  <c r="G75" i="18"/>
  <c r="H8" i="18"/>
  <c r="H10" i="18"/>
  <c r="H19" i="18" s="1"/>
  <c r="H65" i="18"/>
  <c r="M15" i="18"/>
  <c r="H18" i="18"/>
  <c r="H73" i="18" s="1"/>
  <c r="M16" i="18"/>
  <c r="H34" i="9"/>
  <c r="G69" i="12"/>
  <c r="H25" i="11"/>
  <c r="I75" i="12"/>
  <c r="H64" i="5"/>
  <c r="J7" i="5"/>
  <c r="H17" i="5"/>
  <c r="L11" i="5"/>
  <c r="M11" i="5" s="1"/>
  <c r="H55" i="8"/>
  <c r="G74" i="3"/>
  <c r="H10" i="3"/>
  <c r="H19" i="3" s="1"/>
  <c r="M17" i="3"/>
  <c r="G70" i="3"/>
  <c r="G65" i="3"/>
  <c r="L11" i="3"/>
  <c r="M11" i="3"/>
  <c r="M9" i="3"/>
  <c r="M8" i="3"/>
  <c r="L7" i="3"/>
  <c r="M7" i="3" s="1"/>
  <c r="H19" i="2"/>
  <c r="H18" i="16"/>
  <c r="H73" i="16" s="1"/>
  <c r="G73" i="16"/>
  <c r="L18" i="16"/>
  <c r="M18" i="16"/>
  <c r="L11" i="16"/>
  <c r="M11" i="16" s="1"/>
  <c r="I66" i="16"/>
  <c r="G62" i="18"/>
  <c r="L7" i="18"/>
  <c r="M7" i="18" s="1"/>
  <c r="J53" i="5"/>
  <c r="L15" i="4"/>
  <c r="M15" i="4" s="1"/>
  <c r="G68" i="4"/>
  <c r="J8" i="4"/>
  <c r="H45" i="3"/>
  <c r="H63" i="3" s="1"/>
  <c r="I68" i="3"/>
  <c r="H25" i="3"/>
  <c r="H14" i="3"/>
  <c r="G69" i="9"/>
  <c r="G64" i="9"/>
  <c r="H32" i="9"/>
  <c r="H37" i="9" s="1"/>
  <c r="H28" i="9"/>
  <c r="H14" i="9"/>
  <c r="H69" i="9" s="1"/>
  <c r="H13" i="9"/>
  <c r="H68" i="9"/>
  <c r="H35" i="2"/>
  <c r="J8" i="10"/>
  <c r="I75" i="10"/>
  <c r="G70" i="10"/>
  <c r="L15" i="10"/>
  <c r="M15" i="10" s="1"/>
  <c r="H10" i="16"/>
  <c r="G65" i="16"/>
  <c r="H9" i="17"/>
  <c r="H64" i="17"/>
  <c r="G75" i="17"/>
  <c r="M10" i="17"/>
  <c r="J32" i="20"/>
  <c r="M12" i="18"/>
  <c r="J66" i="8"/>
  <c r="H18" i="4"/>
  <c r="H73" i="4" s="1"/>
  <c r="G72" i="4"/>
  <c r="M14" i="9"/>
  <c r="H9" i="9"/>
  <c r="H64" i="9" s="1"/>
  <c r="J19" i="2"/>
  <c r="L12" i="16"/>
  <c r="M12" i="16" s="1"/>
  <c r="G67" i="16"/>
  <c r="L13" i="17"/>
  <c r="M13" i="17"/>
  <c r="G68" i="17"/>
  <c r="H35" i="20"/>
  <c r="L18" i="15"/>
  <c r="M18" i="15" s="1"/>
  <c r="G73" i="15"/>
  <c r="L14" i="15"/>
  <c r="G69" i="15"/>
  <c r="G71" i="16"/>
  <c r="G63" i="16"/>
  <c r="J9" i="13"/>
  <c r="G70" i="17"/>
  <c r="I76" i="20"/>
  <c r="H37" i="20"/>
  <c r="H33" i="20"/>
  <c r="H29" i="20"/>
  <c r="L20" i="20"/>
  <c r="G74" i="20"/>
  <c r="G68" i="20"/>
  <c r="L14" i="14"/>
  <c r="M14" i="14" s="1"/>
  <c r="L8" i="15"/>
  <c r="M8" i="15" s="1"/>
  <c r="G63" i="15"/>
  <c r="M18" i="18"/>
  <c r="H14" i="18"/>
  <c r="H69" i="18" s="1"/>
  <c r="H18" i="19"/>
  <c r="H73" i="19" s="1"/>
  <c r="H8" i="17"/>
  <c r="H63" i="17" s="1"/>
  <c r="H38" i="20"/>
  <c r="H34" i="20"/>
  <c r="H30" i="20"/>
  <c r="G69" i="20"/>
  <c r="I66" i="20"/>
  <c r="J62" i="14"/>
  <c r="J74" i="14" s="1"/>
  <c r="L11" i="18"/>
  <c r="M11" i="18"/>
  <c r="G66" i="18"/>
  <c r="H13" i="19"/>
  <c r="H68" i="19" s="1"/>
  <c r="G75" i="14"/>
  <c r="J11" i="19"/>
  <c r="J66" i="19" s="1"/>
  <c r="J13" i="19"/>
  <c r="J68" i="19" s="1"/>
  <c r="J7" i="19"/>
  <c r="J62" i="19" s="1"/>
  <c r="J62" i="12"/>
  <c r="H65" i="9"/>
  <c r="J62" i="17"/>
  <c r="J19" i="13"/>
  <c r="J64" i="13"/>
  <c r="J74" i="13" s="1"/>
  <c r="H62" i="17"/>
  <c r="H65" i="16"/>
  <c r="J63" i="4"/>
  <c r="H63" i="18"/>
  <c r="J88" i="5"/>
  <c r="J64" i="12"/>
  <c r="Z58" i="34" l="1"/>
  <c r="C19" i="8"/>
  <c r="Z78" i="34"/>
  <c r="D19" i="8"/>
  <c r="H62" i="12"/>
  <c r="H74" i="18"/>
  <c r="H74" i="13"/>
  <c r="I62" i="10"/>
  <c r="J7" i="10"/>
  <c r="J19" i="12"/>
  <c r="H64" i="3"/>
  <c r="H15" i="12"/>
  <c r="H70" i="12" s="1"/>
  <c r="J35" i="2"/>
  <c r="M16" i="12"/>
  <c r="J86" i="5"/>
  <c r="H19" i="8"/>
  <c r="J68" i="18"/>
  <c r="H67" i="1"/>
  <c r="G85" i="1"/>
  <c r="H85" i="1"/>
  <c r="M9" i="12"/>
  <c r="H62" i="5"/>
  <c r="H47" i="5"/>
  <c r="H82" i="5" s="1"/>
  <c r="J13" i="4"/>
  <c r="J68" i="4" s="1"/>
  <c r="J17" i="4"/>
  <c r="J72" i="4" s="1"/>
  <c r="I75" i="4"/>
  <c r="J14" i="4"/>
  <c r="J69" i="4" s="1"/>
  <c r="J9" i="4"/>
  <c r="J7" i="4"/>
  <c r="J27" i="3"/>
  <c r="J63" i="3" s="1"/>
  <c r="J29" i="3"/>
  <c r="I74" i="3"/>
  <c r="J25" i="3"/>
  <c r="J33" i="3"/>
  <c r="J69" i="3" s="1"/>
  <c r="H71" i="3"/>
  <c r="I64" i="3"/>
  <c r="J28" i="3"/>
  <c r="J64" i="3" s="1"/>
  <c r="H17" i="16"/>
  <c r="H72" i="16" s="1"/>
  <c r="G72" i="16"/>
  <c r="L17" i="16"/>
  <c r="M17" i="16" s="1"/>
  <c r="L9" i="17"/>
  <c r="M9" i="17" s="1"/>
  <c r="G64" i="17"/>
  <c r="L13" i="5"/>
  <c r="M13" i="5" s="1"/>
  <c r="H13" i="5"/>
  <c r="H84" i="5" s="1"/>
  <c r="G84" i="5"/>
  <c r="H18" i="12"/>
  <c r="H73" i="12" s="1"/>
  <c r="H19" i="13"/>
  <c r="G87" i="5"/>
  <c r="J19" i="8"/>
  <c r="H80" i="1"/>
  <c r="J84" i="1"/>
  <c r="M18" i="12"/>
  <c r="I83" i="5"/>
  <c r="L12" i="5"/>
  <c r="M12" i="5" s="1"/>
  <c r="G70" i="4"/>
  <c r="H51" i="4"/>
  <c r="H70" i="4" s="1"/>
  <c r="G67" i="4"/>
  <c r="H67" i="4"/>
  <c r="H7" i="4"/>
  <c r="L7" i="4"/>
  <c r="M7" i="4" s="1"/>
  <c r="J43" i="10"/>
  <c r="J55" i="10" s="1"/>
  <c r="J50" i="10"/>
  <c r="J48" i="10"/>
  <c r="J46" i="10"/>
  <c r="H70" i="10"/>
  <c r="H9" i="16"/>
  <c r="G64" i="16"/>
  <c r="L9" i="16"/>
  <c r="M9" i="16" s="1"/>
  <c r="L7" i="10"/>
  <c r="M7" i="10" s="1"/>
  <c r="G70" i="13"/>
  <c r="H14" i="12"/>
  <c r="H69" i="12" s="1"/>
  <c r="M12" i="12"/>
  <c r="H66" i="10"/>
  <c r="H64" i="4"/>
  <c r="J87" i="1"/>
  <c r="I70" i="12"/>
  <c r="J33" i="12"/>
  <c r="J70" i="12" s="1"/>
  <c r="J18" i="4"/>
  <c r="J73" i="4" s="1"/>
  <c r="H53" i="3"/>
  <c r="I66" i="3"/>
  <c r="J30" i="3"/>
  <c r="J66" i="3" s="1"/>
  <c r="J67" i="9"/>
  <c r="J74" i="9" s="1"/>
  <c r="G75" i="10"/>
  <c r="H52" i="10"/>
  <c r="H54" i="10"/>
  <c r="H43" i="10"/>
  <c r="H62" i="10" s="1"/>
  <c r="J69" i="10"/>
  <c r="M13" i="16"/>
  <c r="J80" i="1"/>
  <c r="J90" i="1" s="1"/>
  <c r="H11" i="12"/>
  <c r="H66" i="12" s="1"/>
  <c r="H13" i="12"/>
  <c r="H68" i="12" s="1"/>
  <c r="G73" i="12"/>
  <c r="H65" i="1"/>
  <c r="H83" i="1" s="1"/>
  <c r="H81" i="1"/>
  <c r="H26" i="12"/>
  <c r="M11" i="12"/>
  <c r="H8" i="12"/>
  <c r="H63" i="12" s="1"/>
  <c r="H71" i="5"/>
  <c r="H88" i="5" s="1"/>
  <c r="G88" i="5"/>
  <c r="H50" i="5"/>
  <c r="H44" i="5"/>
  <c r="H79" i="5" s="1"/>
  <c r="L18" i="4"/>
  <c r="M18" i="4" s="1"/>
  <c r="G73" i="4"/>
  <c r="M16" i="9"/>
  <c r="G75" i="9"/>
  <c r="M8" i="9"/>
  <c r="M12" i="9"/>
  <c r="I63" i="10"/>
  <c r="J44" i="10"/>
  <c r="L17" i="10"/>
  <c r="M17" i="10" s="1"/>
  <c r="H14" i="16"/>
  <c r="H69" i="16" s="1"/>
  <c r="H11" i="16"/>
  <c r="H66" i="16" s="1"/>
  <c r="H13" i="16"/>
  <c r="H68" i="16" s="1"/>
  <c r="H16" i="16"/>
  <c r="H71" i="16" s="1"/>
  <c r="G75" i="16"/>
  <c r="J63" i="10"/>
  <c r="L15" i="13"/>
  <c r="M15" i="13" s="1"/>
  <c r="H10" i="12"/>
  <c r="H70" i="1"/>
  <c r="H88" i="1" s="1"/>
  <c r="H60" i="1"/>
  <c r="H71" i="1"/>
  <c r="H89" i="1" s="1"/>
  <c r="G91" i="1"/>
  <c r="G66" i="12"/>
  <c r="H45" i="5"/>
  <c r="H80" i="5" s="1"/>
  <c r="L15" i="5"/>
  <c r="M15" i="5" s="1"/>
  <c r="H15" i="5"/>
  <c r="H86" i="5" s="1"/>
  <c r="J55" i="8"/>
  <c r="H55" i="4"/>
  <c r="J65" i="3"/>
  <c r="L15" i="9"/>
  <c r="M15" i="9" s="1"/>
  <c r="G70" i="9"/>
  <c r="H37" i="10"/>
  <c r="I70" i="3"/>
  <c r="J34" i="3"/>
  <c r="J70" i="3" s="1"/>
  <c r="G64" i="3"/>
  <c r="M17" i="12"/>
  <c r="H9" i="12"/>
  <c r="H64" i="12" s="1"/>
  <c r="H37" i="1"/>
  <c r="H48" i="5"/>
  <c r="H83" i="5" s="1"/>
  <c r="H43" i="5"/>
  <c r="L14" i="5"/>
  <c r="M14" i="5" s="1"/>
  <c r="I85" i="5"/>
  <c r="G62" i="4"/>
  <c r="J66" i="4"/>
  <c r="J68" i="3"/>
  <c r="J47" i="10"/>
  <c r="L10" i="16"/>
  <c r="M10" i="16" s="1"/>
  <c r="J55" i="1"/>
  <c r="H65" i="3"/>
  <c r="J19" i="14"/>
  <c r="H16" i="12"/>
  <c r="H71" i="12" s="1"/>
  <c r="I66" i="10"/>
  <c r="M8" i="12"/>
  <c r="H62" i="3"/>
  <c r="M10" i="12"/>
  <c r="G82" i="1"/>
  <c r="J81" i="1"/>
  <c r="H54" i="5"/>
  <c r="H89" i="5" s="1"/>
  <c r="H10" i="5"/>
  <c r="H81" i="5" s="1"/>
  <c r="L10" i="5"/>
  <c r="M10" i="5" s="1"/>
  <c r="G81" i="5"/>
  <c r="J45" i="4"/>
  <c r="J55" i="4" s="1"/>
  <c r="H47" i="3"/>
  <c r="H54" i="3"/>
  <c r="H72" i="3" s="1"/>
  <c r="H48" i="3"/>
  <c r="H66" i="3" s="1"/>
  <c r="H51" i="3"/>
  <c r="H50" i="3"/>
  <c r="H68" i="3" s="1"/>
  <c r="H43" i="3"/>
  <c r="H26" i="3"/>
  <c r="H37" i="3" s="1"/>
  <c r="G62" i="3"/>
  <c r="J72" i="9"/>
  <c r="L7" i="9"/>
  <c r="M7" i="9" s="1"/>
  <c r="G62" i="9"/>
  <c r="H7" i="9"/>
  <c r="J62" i="16"/>
  <c r="J74" i="16" s="1"/>
  <c r="J19" i="16"/>
  <c r="J10" i="17"/>
  <c r="J15" i="17"/>
  <c r="J70" i="17" s="1"/>
  <c r="H29" i="11"/>
  <c r="J30" i="12"/>
  <c r="J67" i="12" s="1"/>
  <c r="J74" i="12" s="1"/>
  <c r="H28" i="12"/>
  <c r="J47" i="5"/>
  <c r="J82" i="5" s="1"/>
  <c r="H14" i="5"/>
  <c r="H53" i="10"/>
  <c r="G66" i="10"/>
  <c r="J37" i="10"/>
  <c r="H17" i="10"/>
  <c r="G69" i="10"/>
  <c r="J10" i="10"/>
  <c r="J65" i="10" s="1"/>
  <c r="G77" i="20"/>
  <c r="H15" i="14"/>
  <c r="H70" i="14" s="1"/>
  <c r="H10" i="14"/>
  <c r="H65" i="14" s="1"/>
  <c r="H65" i="10"/>
  <c r="G73" i="11"/>
  <c r="H16" i="11"/>
  <c r="H17" i="12"/>
  <c r="H72" i="12" s="1"/>
  <c r="L7" i="12"/>
  <c r="M7" i="12" s="1"/>
  <c r="J36" i="3"/>
  <c r="J72" i="3" s="1"/>
  <c r="L14" i="10"/>
  <c r="M14" i="10" s="1"/>
  <c r="G65" i="10"/>
  <c r="H36" i="20"/>
  <c r="H32" i="20"/>
  <c r="I72" i="20"/>
  <c r="G70" i="18"/>
  <c r="J15" i="18"/>
  <c r="J70" i="18" s="1"/>
  <c r="L7" i="19"/>
  <c r="M16" i="11"/>
  <c r="I68" i="4"/>
  <c r="J17" i="10"/>
  <c r="J13" i="10"/>
  <c r="H14" i="17"/>
  <c r="H69" i="17" s="1"/>
  <c r="H12" i="17"/>
  <c r="H67" i="17" s="1"/>
  <c r="H10" i="17"/>
  <c r="H39" i="20"/>
  <c r="H28" i="20"/>
  <c r="H40" i="20" s="1"/>
  <c r="I23" i="20"/>
  <c r="H11" i="14"/>
  <c r="H66" i="14" s="1"/>
  <c r="H8" i="14"/>
  <c r="L18" i="11"/>
  <c r="M18" i="11" s="1"/>
  <c r="H8" i="11"/>
  <c r="J46" i="5"/>
  <c r="J81" i="5" s="1"/>
  <c r="J49" i="5"/>
  <c r="J84" i="5" s="1"/>
  <c r="H33" i="3"/>
  <c r="H69" i="3" s="1"/>
  <c r="H31" i="3"/>
  <c r="H67" i="3" s="1"/>
  <c r="J49" i="10"/>
  <c r="H71" i="10"/>
  <c r="G64" i="10"/>
  <c r="G72" i="20"/>
  <c r="H31" i="20"/>
  <c r="I78" i="20"/>
  <c r="L13" i="20"/>
  <c r="H31" i="11"/>
  <c r="H68" i="11" s="1"/>
  <c r="H27" i="11"/>
  <c r="H7" i="11"/>
  <c r="J43" i="5"/>
  <c r="J45" i="5"/>
  <c r="J80" i="5" s="1"/>
  <c r="H49" i="10"/>
  <c r="H68" i="10" s="1"/>
  <c r="J18" i="10"/>
  <c r="J73" i="10" s="1"/>
  <c r="I67" i="10"/>
  <c r="H18" i="17"/>
  <c r="H73" i="17" s="1"/>
  <c r="H18" i="14"/>
  <c r="H73" i="14" s="1"/>
  <c r="H16" i="14"/>
  <c r="H71" i="14" s="1"/>
  <c r="H14" i="14"/>
  <c r="H69" i="14" s="1"/>
  <c r="M14" i="18"/>
  <c r="H13" i="11"/>
  <c r="J52" i="5"/>
  <c r="J87" i="5" s="1"/>
  <c r="J51" i="10"/>
  <c r="H45" i="10"/>
  <c r="H55" i="10" s="1"/>
  <c r="G73" i="10"/>
  <c r="J15" i="10"/>
  <c r="G63" i="10"/>
  <c r="J35" i="20"/>
  <c r="J19" i="20"/>
  <c r="J77" i="20" s="1"/>
  <c r="L16" i="20"/>
  <c r="M16" i="20" s="1"/>
  <c r="H9" i="14"/>
  <c r="H64" i="14" s="1"/>
  <c r="M16" i="15"/>
  <c r="J14" i="19"/>
  <c r="J69" i="19" s="1"/>
  <c r="J16" i="20"/>
  <c r="J74" i="20" s="1"/>
  <c r="J15" i="20"/>
  <c r="J73" i="20" s="1"/>
  <c r="J14" i="20"/>
  <c r="J72" i="20" s="1"/>
  <c r="J17" i="20"/>
  <c r="J10" i="20"/>
  <c r="J9" i="20"/>
  <c r="J67" i="20" s="1"/>
  <c r="I81" i="20"/>
  <c r="J20" i="20"/>
  <c r="J78" i="20" s="1"/>
  <c r="J12" i="20"/>
  <c r="J70" i="20" s="1"/>
  <c r="J13" i="20"/>
  <c r="J71" i="20" s="1"/>
  <c r="J18" i="20"/>
  <c r="J8" i="20"/>
  <c r="J66" i="20" s="1"/>
  <c r="J11" i="20"/>
  <c r="J69" i="20" s="1"/>
  <c r="L11" i="20"/>
  <c r="I69" i="20"/>
  <c r="G65" i="20"/>
  <c r="J28" i="20"/>
  <c r="G23" i="20"/>
  <c r="M7" i="20" s="1"/>
  <c r="J7" i="20"/>
  <c r="I77" i="20"/>
  <c r="I71" i="20"/>
  <c r="L19" i="20"/>
  <c r="J39" i="20"/>
  <c r="J38" i="20"/>
  <c r="J34" i="20"/>
  <c r="J31" i="20"/>
  <c r="J30" i="20"/>
  <c r="I74" i="20"/>
  <c r="J74" i="15"/>
  <c r="H14" i="15"/>
  <c r="H69" i="15" s="1"/>
  <c r="M10" i="15"/>
  <c r="J19" i="15"/>
  <c r="M7" i="15"/>
  <c r="M15" i="15"/>
  <c r="G68" i="15"/>
  <c r="M14" i="15"/>
  <c r="H12" i="15"/>
  <c r="H67" i="15" s="1"/>
  <c r="H16" i="15"/>
  <c r="H71" i="15" s="1"/>
  <c r="H15" i="15"/>
  <c r="H70" i="15" s="1"/>
  <c r="H13" i="15"/>
  <c r="H68" i="15" s="1"/>
  <c r="H7" i="15"/>
  <c r="G67" i="15"/>
  <c r="G65" i="15"/>
  <c r="L17" i="15"/>
  <c r="M17" i="15" s="1"/>
  <c r="H17" i="15"/>
  <c r="H72" i="15" s="1"/>
  <c r="H10" i="15"/>
  <c r="H65" i="15" s="1"/>
  <c r="H9" i="15"/>
  <c r="H64" i="15" s="1"/>
  <c r="H8" i="15"/>
  <c r="H63" i="15" s="1"/>
  <c r="H18" i="15"/>
  <c r="H73" i="15" s="1"/>
  <c r="L12" i="15"/>
  <c r="M12" i="15" s="1"/>
  <c r="L12" i="19"/>
  <c r="M12" i="19" s="1"/>
  <c r="L18" i="19"/>
  <c r="J17" i="19"/>
  <c r="J72" i="19" s="1"/>
  <c r="L15" i="19"/>
  <c r="H12" i="19"/>
  <c r="H67" i="19" s="1"/>
  <c r="M17" i="19"/>
  <c r="G75" i="19"/>
  <c r="G72" i="19"/>
  <c r="G66" i="19"/>
  <c r="G64" i="19"/>
  <c r="M14" i="19"/>
  <c r="M11" i="19"/>
  <c r="M7" i="19"/>
  <c r="M18" i="19"/>
  <c r="H14" i="19"/>
  <c r="H69" i="19" s="1"/>
  <c r="M10" i="19"/>
  <c r="M8" i="19"/>
  <c r="H16" i="19"/>
  <c r="H71" i="19" s="1"/>
  <c r="H11" i="19"/>
  <c r="H66" i="19" s="1"/>
  <c r="H15" i="19"/>
  <c r="H70" i="19" s="1"/>
  <c r="H10" i="19"/>
  <c r="H65" i="19" s="1"/>
  <c r="I75" i="19"/>
  <c r="G71" i="19"/>
  <c r="G69" i="19"/>
  <c r="L16" i="19"/>
  <c r="M16" i="19" s="1"/>
  <c r="L13" i="19"/>
  <c r="M13" i="19" s="1"/>
  <c r="J9" i="19"/>
  <c r="H7" i="19"/>
  <c r="H9" i="19"/>
  <c r="H64" i="19" s="1"/>
  <c r="H8" i="19"/>
  <c r="H63" i="19" s="1"/>
  <c r="H17" i="19"/>
  <c r="H72" i="19" s="1"/>
  <c r="M9" i="19"/>
  <c r="M15" i="19"/>
  <c r="J18" i="19"/>
  <c r="J73" i="19" s="1"/>
  <c r="G63" i="11"/>
  <c r="H50" i="11"/>
  <c r="H43" i="11"/>
  <c r="H62" i="11" s="1"/>
  <c r="J14" i="11"/>
  <c r="J69" i="11" s="1"/>
  <c r="J12" i="11"/>
  <c r="J67" i="11" s="1"/>
  <c r="H51" i="11"/>
  <c r="H70" i="11" s="1"/>
  <c r="H10" i="11"/>
  <c r="M9" i="11"/>
  <c r="J70" i="11"/>
  <c r="G62" i="11"/>
  <c r="G67" i="11"/>
  <c r="J10" i="11"/>
  <c r="J65" i="11" s="1"/>
  <c r="M14" i="11"/>
  <c r="G71" i="11"/>
  <c r="H9" i="11"/>
  <c r="H64" i="11" s="1"/>
  <c r="G66" i="11"/>
  <c r="J18" i="11"/>
  <c r="J73" i="11" s="1"/>
  <c r="G75" i="11"/>
  <c r="J16" i="11"/>
  <c r="J71" i="11" s="1"/>
  <c r="J7" i="11"/>
  <c r="J62" i="11" s="1"/>
  <c r="H46" i="11"/>
  <c r="H26" i="11"/>
  <c r="H37" i="11" s="1"/>
  <c r="J37" i="11"/>
  <c r="H14" i="11"/>
  <c r="L8" i="11"/>
  <c r="M8" i="11" s="1"/>
  <c r="J64" i="11"/>
  <c r="H48" i="11"/>
  <c r="H67" i="11" s="1"/>
  <c r="H44" i="11"/>
  <c r="H55" i="11" s="1"/>
  <c r="G64" i="11"/>
  <c r="G65" i="11"/>
  <c r="H52" i="11"/>
  <c r="H71" i="11" s="1"/>
  <c r="L13" i="11"/>
  <c r="M13" i="11" s="1"/>
  <c r="H11" i="11"/>
  <c r="H66" i="11" s="1"/>
  <c r="G68" i="11"/>
  <c r="J62" i="10"/>
  <c r="J70" i="10"/>
  <c r="H63" i="10"/>
  <c r="H72" i="10"/>
  <c r="J9" i="10"/>
  <c r="J11" i="10"/>
  <c r="J16" i="10"/>
  <c r="J71" i="10" s="1"/>
  <c r="I70" i="10"/>
  <c r="I73" i="10"/>
  <c r="L9" i="10"/>
  <c r="M9" i="10" s="1"/>
  <c r="L12" i="10"/>
  <c r="M12" i="10" s="1"/>
  <c r="L13" i="10"/>
  <c r="M13" i="10" s="1"/>
  <c r="H12" i="10"/>
  <c r="H14" i="10"/>
  <c r="H69" i="10" s="1"/>
  <c r="H18" i="10"/>
  <c r="J45" i="10"/>
  <c r="J53" i="10"/>
  <c r="J72" i="10" s="1"/>
  <c r="L18" i="10"/>
  <c r="M18" i="10" s="1"/>
  <c r="I68" i="10"/>
  <c r="J12" i="10"/>
  <c r="J67" i="10" s="1"/>
  <c r="H64" i="10" l="1"/>
  <c r="J64" i="4"/>
  <c r="J19" i="18"/>
  <c r="H10" i="20"/>
  <c r="H68" i="20" s="1"/>
  <c r="H85" i="5"/>
  <c r="H61" i="3"/>
  <c r="H73" i="3" s="1"/>
  <c r="H55" i="3"/>
  <c r="H62" i="4"/>
  <c r="H74" i="4" s="1"/>
  <c r="H19" i="4"/>
  <c r="J37" i="12"/>
  <c r="J62" i="4"/>
  <c r="J74" i="4" s="1"/>
  <c r="J19" i="4"/>
  <c r="J66" i="10"/>
  <c r="M8" i="20"/>
  <c r="H62" i="9"/>
  <c r="H74" i="9" s="1"/>
  <c r="H19" i="9"/>
  <c r="H64" i="16"/>
  <c r="H74" i="16" s="1"/>
  <c r="H19" i="16"/>
  <c r="H19" i="5"/>
  <c r="H73" i="10"/>
  <c r="J19" i="11"/>
  <c r="M19" i="20"/>
  <c r="H65" i="17"/>
  <c r="H74" i="17" s="1"/>
  <c r="H19" i="17"/>
  <c r="H78" i="1"/>
  <c r="H90" i="1" s="1"/>
  <c r="H72" i="1"/>
  <c r="J61" i="3"/>
  <c r="J73" i="3" s="1"/>
  <c r="J37" i="3"/>
  <c r="J74" i="18"/>
  <c r="J55" i="5"/>
  <c r="J78" i="5"/>
  <c r="J90" i="5" s="1"/>
  <c r="H37" i="12"/>
  <c r="H65" i="12"/>
  <c r="H74" i="12" s="1"/>
  <c r="H19" i="12"/>
  <c r="J65" i="17"/>
  <c r="J74" i="17" s="1"/>
  <c r="J19" i="17"/>
  <c r="J68" i="20"/>
  <c r="H19" i="14"/>
  <c r="H63" i="14"/>
  <c r="H74" i="14" s="1"/>
  <c r="J68" i="10"/>
  <c r="H78" i="5"/>
  <c r="H90" i="5" s="1"/>
  <c r="H55" i="5"/>
  <c r="H73" i="5"/>
  <c r="J65" i="20"/>
  <c r="J22" i="20"/>
  <c r="M18" i="20"/>
  <c r="M15" i="20"/>
  <c r="H14" i="20"/>
  <c r="H72" i="20" s="1"/>
  <c r="H19" i="20"/>
  <c r="H77" i="20" s="1"/>
  <c r="M12" i="20"/>
  <c r="M20" i="20"/>
  <c r="H13" i="20"/>
  <c r="H71" i="20" s="1"/>
  <c r="H12" i="20"/>
  <c r="H70" i="20" s="1"/>
  <c r="H18" i="20"/>
  <c r="H76" i="20" s="1"/>
  <c r="H20" i="20"/>
  <c r="H78" i="20" s="1"/>
  <c r="H16" i="20"/>
  <c r="H74" i="20" s="1"/>
  <c r="M9" i="20"/>
  <c r="H15" i="20"/>
  <c r="H73" i="20" s="1"/>
  <c r="G81" i="20"/>
  <c r="H17" i="20"/>
  <c r="H75" i="20" s="1"/>
  <c r="H9" i="20"/>
  <c r="H67" i="20" s="1"/>
  <c r="H7" i="20"/>
  <c r="H8" i="20"/>
  <c r="H66" i="20" s="1"/>
  <c r="H11" i="20"/>
  <c r="H69" i="20" s="1"/>
  <c r="M17" i="20"/>
  <c r="M14" i="20"/>
  <c r="J75" i="20"/>
  <c r="M10" i="20"/>
  <c r="M13" i="20"/>
  <c r="J40" i="20"/>
  <c r="M11" i="20"/>
  <c r="J76" i="20"/>
  <c r="H62" i="15"/>
  <c r="H74" i="15" s="1"/>
  <c r="H19" i="15"/>
  <c r="H19" i="19"/>
  <c r="H62" i="19"/>
  <c r="H74" i="19" s="1"/>
  <c r="J64" i="19"/>
  <c r="J74" i="19" s="1"/>
  <c r="J19" i="19"/>
  <c r="H63" i="11"/>
  <c r="H74" i="11" s="1"/>
  <c r="H69" i="11"/>
  <c r="H65" i="11"/>
  <c r="J74" i="11"/>
  <c r="H19" i="11"/>
  <c r="J74" i="10"/>
  <c r="H67" i="10"/>
  <c r="H74" i="10" s="1"/>
  <c r="H19" i="10"/>
  <c r="J64" i="10"/>
  <c r="J19" i="10"/>
  <c r="H22" i="20" l="1"/>
  <c r="H65" i="20"/>
  <c r="H80" i="20" s="1"/>
  <c r="J80" i="20"/>
</calcChain>
</file>

<file path=xl/sharedStrings.xml><?xml version="1.0" encoding="utf-8"?>
<sst xmlns="http://schemas.openxmlformats.org/spreadsheetml/2006/main" count="6521" uniqueCount="291">
  <si>
    <t>Hour</t>
  </si>
  <si>
    <t>7-8</t>
  </si>
  <si>
    <t>8-9</t>
  </si>
  <si>
    <t>9-10</t>
  </si>
  <si>
    <t>10-11</t>
  </si>
  <si>
    <t>11-12</t>
  </si>
  <si>
    <t>12-1</t>
  </si>
  <si>
    <t>1-2</t>
  </si>
  <si>
    <t>2-3</t>
  </si>
  <si>
    <t>3-4</t>
  </si>
  <si>
    <t>4-5</t>
  </si>
  <si>
    <t>5-6</t>
  </si>
  <si>
    <t>6-7</t>
  </si>
  <si>
    <t>In Volume</t>
  </si>
  <si>
    <t>In %</t>
  </si>
  <si>
    <t>Out Volume</t>
  </si>
  <si>
    <t>Out %</t>
  </si>
  <si>
    <t>STH 83 &amp; Meadow Lane</t>
  </si>
  <si>
    <t>USH 18 &amp; Pebble Creek Pass</t>
  </si>
  <si>
    <t>STH 190 &amp; Imperial Road</t>
  </si>
  <si>
    <t>Total</t>
  </si>
  <si>
    <t>24-hour Total</t>
  </si>
  <si>
    <t>Average of Three Intersections</t>
  </si>
  <si>
    <t>Average In %</t>
  </si>
  <si>
    <t>Average Out %</t>
  </si>
  <si>
    <t>Average</t>
  </si>
  <si>
    <t>6-7 am</t>
  </si>
  <si>
    <t>7-8 am</t>
  </si>
  <si>
    <t>8-9 am</t>
  </si>
  <si>
    <t xml:space="preserve">9-10 am </t>
  </si>
  <si>
    <t>10-11 am</t>
  </si>
  <si>
    <t>12-1 pm</t>
  </si>
  <si>
    <t xml:space="preserve">1-2 pm </t>
  </si>
  <si>
    <t>2-3 pm</t>
  </si>
  <si>
    <t>3-4 pm</t>
  </si>
  <si>
    <t>4-5 pm</t>
  </si>
  <si>
    <t>5-6 pm</t>
  </si>
  <si>
    <t>11am-12pm</t>
  </si>
  <si>
    <t>% In</t>
  </si>
  <si>
    <t>% Out</t>
  </si>
  <si>
    <t>STH 167 &amp; Mequon Homestead H.S.</t>
  </si>
  <si>
    <t>9-10 am</t>
  </si>
  <si>
    <t>Daily In Volume</t>
  </si>
  <si>
    <t>Daily Out Volume</t>
  </si>
  <si>
    <t>1-2 pm</t>
  </si>
  <si>
    <t>STH 60 &amp; Grafton H.S.</t>
  </si>
  <si>
    <t>WisDOT Proposed</t>
  </si>
  <si>
    <t>WIS 60 / Grafton HS</t>
  </si>
  <si>
    <t>WIS 167 / Homestead HS</t>
  </si>
  <si>
    <t>USH 18 / Pebble</t>
  </si>
  <si>
    <t>WIS 83 / Meadow</t>
  </si>
  <si>
    <t>WIS 190 / Imperial</t>
  </si>
  <si>
    <t>WIS 164 &amp; Riverwood</t>
  </si>
  <si>
    <t>WIS 164 / Riverwood</t>
  </si>
  <si>
    <t>WIS 11 &amp; Oakes Rd</t>
  </si>
  <si>
    <t>WIS 11 / Oakes</t>
  </si>
  <si>
    <t>WIS 31 &amp; 95th Street</t>
  </si>
  <si>
    <t>WIS 31 / 95th St</t>
  </si>
  <si>
    <t>WIS 158 &amp; 95th Ave</t>
  </si>
  <si>
    <t>WIS 158 / 95th Ave</t>
  </si>
  <si>
    <t>WIS 181 &amp; Northridge Lakes Blvd</t>
  </si>
  <si>
    <t>WIS 181 / Northridge Lakes</t>
  </si>
  <si>
    <t>County O / Ridge Drwy</t>
  </si>
  <si>
    <t>County O (Moorland Rd) and Ridge Cinema Drwy</t>
  </si>
  <si>
    <t>**Driveway shared with Applebee's / Baymont Inn</t>
  </si>
  <si>
    <t>WIS 100 &amp; Theodore Trecker Way</t>
  </si>
  <si>
    <t>No 24-hr data available - estimate</t>
  </si>
  <si>
    <t>WIS 100 / Theo Trecker</t>
  </si>
  <si>
    <t>County F (Old WIS 164) &amp; Duplainville/Paul Rd</t>
  </si>
  <si>
    <t>County F / Paul</t>
  </si>
  <si>
    <t>US 18 &amp; Corporate Dr</t>
  </si>
  <si>
    <t>US 18 / Corporate</t>
  </si>
  <si>
    <t>WIS 158 &amp; 68th Ave</t>
  </si>
  <si>
    <t>WIS 158 / 68th Ave</t>
  </si>
  <si>
    <t>Pick'n Save</t>
  </si>
  <si>
    <t>WIS 18 / WIS 83</t>
  </si>
  <si>
    <t>mid-1</t>
  </si>
  <si>
    <t>11-mid</t>
  </si>
  <si>
    <t>Blended Restaurant Rate</t>
  </si>
  <si>
    <t>Blended Distributions from Quality Rest (931), High Turnover (932), and Fast Food (934)</t>
  </si>
  <si>
    <t>* In/Out Movements to/from west approach (Riverwood)</t>
  </si>
  <si>
    <t>* In/Out Movements to/from west approach (Paul)</t>
  </si>
  <si>
    <t>* In/Out Movements to/from south approach (Corporate)</t>
  </si>
  <si>
    <t>WIS 83 / Heritage Dr</t>
  </si>
  <si>
    <t>* In/Out Movements to/from east approach (Heritage)</t>
  </si>
  <si>
    <t>WIS 57 / Deerwood Dr</t>
  </si>
  <si>
    <t>US 18 / Main St</t>
  </si>
  <si>
    <t>* In/Out Movements to/from east approach (Deerwood)</t>
  </si>
  <si>
    <t>* In/Out Movements to/from north approach (Main St)</t>
  </si>
  <si>
    <t>ITE 820 - &lt;100,000 SF</t>
  </si>
  <si>
    <t>ITE 820 - &gt;300,000 SF</t>
  </si>
  <si>
    <t>US 18 &amp; Main St</t>
  </si>
  <si>
    <t>WIS 57 &amp; Deerwood Dr</t>
  </si>
  <si>
    <t>WIS 83 &amp; Heritage Dr</t>
  </si>
  <si>
    <t>WIS 31 &amp; Castle Court</t>
  </si>
  <si>
    <t>WIS 31/Castle Court</t>
  </si>
  <si>
    <t>WIS 20 &amp; Sunnyslope Dr</t>
  </si>
  <si>
    <t>WIS 20 / Sunnyslope</t>
  </si>
  <si>
    <t>* In/Out Movements to/from south approach (Sunnyslope)</t>
  </si>
  <si>
    <t>WIS 38 / Caddy</t>
  </si>
  <si>
    <t>WIS 100 &amp; Research Park Rd/Potter Rd</t>
  </si>
  <si>
    <t>WIS 100 / Potter</t>
  </si>
  <si>
    <t>WIS 100 &amp; Lapham</t>
  </si>
  <si>
    <t>* In/Out Movements to/from east approach (Lapham)</t>
  </si>
  <si>
    <t>WIS 100 / Lapham</t>
  </si>
  <si>
    <t>WIS 57 / Schroeder</t>
  </si>
  <si>
    <t>* In/Out Movements to/from east approach (Schroeder)</t>
  </si>
  <si>
    <t>* In/Out Movements to/from south approach (109th)</t>
  </si>
  <si>
    <t>Aurora Medical Center - Oshkosh</t>
  </si>
  <si>
    <t>Oshkosh</t>
  </si>
  <si>
    <t>Targets:</t>
  </si>
  <si>
    <t>80-85%</t>
  </si>
  <si>
    <t>*75% staffed beds (new facility), therefore, use 75% daily volumes.</t>
  </si>
  <si>
    <t>peak around noon</t>
  </si>
  <si>
    <t>in/out simliar around mid-day</t>
  </si>
  <si>
    <t>Aurora Medical Center - Green Bay</t>
  </si>
  <si>
    <t>Green Bay</t>
  </si>
  <si>
    <t>Aurora Medical Center - Kenosha</t>
  </si>
  <si>
    <t>Kenosha</t>
  </si>
  <si>
    <t>Average of Three Locations</t>
  </si>
  <si>
    <t>Pilgrim Rd &amp; Megal Dr/Anthony Ave</t>
  </si>
  <si>
    <t>Pilgrim Rd / Anthony Ave</t>
  </si>
  <si>
    <t>WIS 38 &amp; Caddy Lane</t>
  </si>
  <si>
    <t>WIS 241 &amp; Northwestern Mutual Life Dr</t>
  </si>
  <si>
    <t>WIS 241 / NML Dwy</t>
  </si>
  <si>
    <t>WIS 100 / Dakota</t>
  </si>
  <si>
    <t>* In/Out Movements to/from west approach (Dakota)</t>
  </si>
  <si>
    <t>WIS 100/US 45 &amp; Whitnall Edge Rd</t>
  </si>
  <si>
    <t>* In/Out Movements to/from west approach (Hiller Ford)</t>
  </si>
  <si>
    <t>WIS 100 / Whitnall Edge</t>
  </si>
  <si>
    <t>WIS 50 &amp; 64th Ave</t>
  </si>
  <si>
    <t>WIS 50 / 64th Ave</t>
  </si>
  <si>
    <t>* In/Out Movements to/from west approach (64th)</t>
  </si>
  <si>
    <t>* In/Out Movements to/from west approach (NML Dwy)</t>
  </si>
  <si>
    <t>Average of Four Intersections</t>
  </si>
  <si>
    <t>USH 18 &amp; Menards Median Opening</t>
  </si>
  <si>
    <t>* In/Out Movements to/from south approach (Menards)</t>
  </si>
  <si>
    <t>USH 18 / Menards Median Opening</t>
  </si>
  <si>
    <t>WIS 33 &amp; Mobil Gas Dwy (Near Schoenhaar Dr)</t>
  </si>
  <si>
    <t>WIS 33 / Mobil Dwy</t>
  </si>
  <si>
    <t>* In/Out Movements to/from north approach (Mobil Dwy)</t>
  </si>
  <si>
    <t>6-7 pm</t>
  </si>
  <si>
    <t>7-8 pm</t>
  </si>
  <si>
    <t>*Note - Applebee's adjacent</t>
  </si>
  <si>
    <t>WIS 100 &amp; Dakota St</t>
  </si>
  <si>
    <t>WIS 57 &amp; Schroeder Dr (YMCA)</t>
  </si>
  <si>
    <t>WIS 33 &amp; Northwoods Rd (YMCA)</t>
  </si>
  <si>
    <t>WIS 33 / Northwoods</t>
  </si>
  <si>
    <t>* In/Out Movements to/from north approach (Northwoods)</t>
  </si>
  <si>
    <t>CTH B &amp; Eastlake Dr (YMCA)</t>
  </si>
  <si>
    <t>CTH B/Eastlake Dr</t>
  </si>
  <si>
    <t>US-45/WIS 100 &amp; Cortez Circle</t>
  </si>
  <si>
    <t>US-45/WIS 100 &amp; Cortez Cir</t>
  </si>
  <si>
    <t>WIS 100 &amp; 95th St</t>
  </si>
  <si>
    <t>* In/Out Movements to/from south approach (Citgo Dwy)</t>
  </si>
  <si>
    <t>WIS 100/95th St</t>
  </si>
  <si>
    <t>See ITE Trip Generation Manual 9th Edition Volume 3 of 3 page 1558-1559 for more information</t>
  </si>
  <si>
    <t>Average Weekday</t>
  </si>
  <si>
    <t>Average Saturday</t>
  </si>
  <si>
    <t>Average Sunday</t>
  </si>
  <si>
    <t>8-9 pm</t>
  </si>
  <si>
    <t>9-10 pm</t>
  </si>
  <si>
    <t>10pm - 6am</t>
  </si>
  <si>
    <t>ITE Trip Generation 9th Edition (based on 11 ksf to 1750 ksf)</t>
  </si>
  <si>
    <t>ITE Trip Generation 8th Edition</t>
  </si>
  <si>
    <t>-</t>
  </si>
  <si>
    <t>* 3 counts</t>
  </si>
  <si>
    <t>* 4 counts</t>
  </si>
  <si>
    <t>* 1 count</t>
  </si>
  <si>
    <t>* 2 counts</t>
  </si>
  <si>
    <t>110 - Light Industrial</t>
  </si>
  <si>
    <t>140 - Manufacturing (WisDOT)</t>
  </si>
  <si>
    <t>110 - General Light Industrial (WisDOT)</t>
  </si>
  <si>
    <t>210 - Single-Family Detached Housing (WisDOT)</t>
  </si>
  <si>
    <t>495 - Recreational Community Center (WisDOT)</t>
  </si>
  <si>
    <t>710 - General Office Building (WisDOT)</t>
  </si>
  <si>
    <t>820 - Shopping Center, AM ONLY (WisDOT)</t>
  </si>
  <si>
    <t>750 - Office Park (WisDOT)</t>
  </si>
  <si>
    <t>841 - Automobile Sales (WisDOT)</t>
  </si>
  <si>
    <t>850 - Supermarket (WisDOT)</t>
  </si>
  <si>
    <t>857 - Discount Club (WisDOT)</t>
  </si>
  <si>
    <t>862 - Home Improvement Superstore (WisDOT)</t>
  </si>
  <si>
    <t>Medical Land Uses (WisDOT)</t>
  </si>
  <si>
    <t>Aldi</t>
  </si>
  <si>
    <t>Wal-Mart/Menards</t>
  </si>
  <si>
    <t>430 - Golf Course (ITE)</t>
  </si>
  <si>
    <t>10pm-6am</t>
  </si>
  <si>
    <t>Weekday</t>
  </si>
  <si>
    <t>Saturday</t>
  </si>
  <si>
    <t>Sunday</t>
  </si>
  <si>
    <t>Trip Generation Manual, 9th Edition, Volume 2 (p. 780)</t>
  </si>
  <si>
    <t>565 - Day Care Center (ITE)</t>
  </si>
  <si>
    <t>813 - Free-Standing Discount Superstore (ITE)</t>
  </si>
  <si>
    <t>815 - Free-Standing Discount Store (ITE)</t>
  </si>
  <si>
    <t>857 - Discount Club (ITE)</t>
  </si>
  <si>
    <t>875 - Department Store (ITE)</t>
  </si>
  <si>
    <t>Trip Generation Manual, 9th Edition, Volume 3 (p. 1779)</t>
  </si>
  <si>
    <t>934 - Fast-Food Restaurant with Drive-Through Window (ITE)</t>
  </si>
  <si>
    <t>* 2 studies for Saturday</t>
  </si>
  <si>
    <t>* 2 studies for Sunday</t>
  </si>
  <si>
    <t>* 2 studies (3 counts) for weekday</t>
  </si>
  <si>
    <t>* 8 studies for Sunday</t>
  </si>
  <si>
    <t>* 5 studies for weekday</t>
  </si>
  <si>
    <t>* 1 study for Saturday</t>
  </si>
  <si>
    <t>* 1 study for Sunday</t>
  </si>
  <si>
    <t>* 5 studies for Saturday</t>
  </si>
  <si>
    <t>* 3 studies for Saturday</t>
  </si>
  <si>
    <t>* 7 studies for weekday</t>
  </si>
  <si>
    <t>* 3 studies for Sunday</t>
  </si>
  <si>
    <t>* 1 count for weekday</t>
  </si>
  <si>
    <t>ITE</t>
  </si>
  <si>
    <t>WisDOT</t>
  </si>
  <si>
    <t>Land Use</t>
  </si>
  <si>
    <t>Hourly Distributions</t>
  </si>
  <si>
    <t>- If an ITE hourly distribution exists for the desired day, it should be used</t>
  </si>
  <si>
    <t>140 - Manufacturing</t>
  </si>
  <si>
    <t>ITE - Weekday</t>
  </si>
  <si>
    <t>WisDOT - Weekday</t>
  </si>
  <si>
    <t>430 - Golf Course</t>
  </si>
  <si>
    <t>495 - Recreational Community Center</t>
  </si>
  <si>
    <t>565 - Day Care Center</t>
  </si>
  <si>
    <t>710 - General Office Building</t>
  </si>
  <si>
    <t>750 - Office Park</t>
  </si>
  <si>
    <t>850 - Supermarket</t>
  </si>
  <si>
    <t>857 - Discount Club</t>
  </si>
  <si>
    <t>875 - Department Store</t>
  </si>
  <si>
    <t>ITE - Saturday</t>
  </si>
  <si>
    <t>WisDOT - Saturday</t>
  </si>
  <si>
    <t>ITE - Sunday</t>
  </si>
  <si>
    <t>WisDOT - Sunday</t>
  </si>
  <si>
    <t>-Medical-</t>
  </si>
  <si>
    <t>Note:</t>
  </si>
  <si>
    <t>110 - General Light Industrial (ITE)</t>
  </si>
  <si>
    <t>* 27 counts for weekday</t>
  </si>
  <si>
    <t>Trip Generation Manual, 11th Edition</t>
  </si>
  <si>
    <t>140 - Manufacturing (ITE)</t>
  </si>
  <si>
    <t>* 20 counts for weekday</t>
  </si>
  <si>
    <t>154 - High-Cube Transload and Short-Term Storage Warehouse (ITE)</t>
  </si>
  <si>
    <t>* 3 counts for weekday</t>
  </si>
  <si>
    <t>154 - High Cube Warehouse</t>
  </si>
  <si>
    <t>210 - Single-Family Detached Housing (ITE)</t>
  </si>
  <si>
    <t>210 - Single-Family Detached Housing</t>
  </si>
  <si>
    <t>220 - Multifamily Housing (Low-Rise)</t>
  </si>
  <si>
    <t>220 - Multifamily Housing (Low-Rise) (WisDOT)</t>
  </si>
  <si>
    <t>* 6 counts for weekday</t>
  </si>
  <si>
    <t>445 - Movie Theater (WisDOT)</t>
  </si>
  <si>
    <t>445 - Movie Theater</t>
  </si>
  <si>
    <t>495 - Recreational Community Center (ITE)</t>
  </si>
  <si>
    <t>525 - High School</t>
  </si>
  <si>
    <t>525 - High School (ITE)</t>
  </si>
  <si>
    <t>* 2 counts for weekday</t>
  </si>
  <si>
    <t>* 19 studies for weekday</t>
  </si>
  <si>
    <t>Saturday &amp; Sunday: Trip Generation Manual, 9th Edition, Volume 3 (p. 1115)</t>
  </si>
  <si>
    <t>Weekday: Trip Generation Manual, 11th Edition</t>
  </si>
  <si>
    <t>* 11 counts for weekday</t>
  </si>
  <si>
    <t>710 - General Office Building (ITE)</t>
  </si>
  <si>
    <t>* 2 studies for weekday</t>
  </si>
  <si>
    <t>815 - Free-Standing Discount Store</t>
  </si>
  <si>
    <t>813 - Free-Standing Discount Superstore</t>
  </si>
  <si>
    <t>* 24 studies for weekday</t>
  </si>
  <si>
    <t>Weekday &amp; Saturday: Trip Generation Manual, 11th Edition</t>
  </si>
  <si>
    <t>820 - Shopping Center (&gt;150k)</t>
  </si>
  <si>
    <t>820 - Shopping Center (&gt;150k) (ITE)</t>
  </si>
  <si>
    <t>Sunday: Trip Generation Manual, 9th Edition, Volume 3 (p. 1558), &gt;150k does not apply to Sunday distribution</t>
  </si>
  <si>
    <t>840 - Automobile Sales - New (ITE)</t>
  </si>
  <si>
    <t>840 - Automobile Sales (New)</t>
  </si>
  <si>
    <t>* 2 counts for Saturday</t>
  </si>
  <si>
    <t>* 1 count for Sunday</t>
  </si>
  <si>
    <t>850 - Supermarket (ITE)</t>
  </si>
  <si>
    <t>* 1 study for weekday</t>
  </si>
  <si>
    <t>Saturday &amp; Sunday: Trip Generation Manual, 9th Edition, Volume 3 (p. 1711)</t>
  </si>
  <si>
    <t>862 - Home Improvement Superestore (ITE)</t>
  </si>
  <si>
    <t>--</t>
  </si>
  <si>
    <t>* 2 counts for Sunday</t>
  </si>
  <si>
    <t>862 - Home Improvement Superestore</t>
  </si>
  <si>
    <t>* 37 studies for weekday</t>
  </si>
  <si>
    <t>* 4 studies for Sunday</t>
  </si>
  <si>
    <t>* 6 studies for Saturday</t>
  </si>
  <si>
    <t>* 53 studies for weekday</t>
  </si>
  <si>
    <t>932 - High-Turnover (Sit-Down) Restaurant</t>
  </si>
  <si>
    <t>932 - High-Turnover (Sit-Down) Restaurant (ITE)</t>
  </si>
  <si>
    <t>934 - Fast-Food Restaurant with Drive-Through Window (WisDOT)</t>
  </si>
  <si>
    <t>934 - Fast-Food Restaurant with Drive-Through Window</t>
  </si>
  <si>
    <t>945 - Convenience Store/Gas Station (WisDOT)</t>
  </si>
  <si>
    <t>945 - Convenience Store/Gas Station GFA 2-4K (ITE)</t>
  </si>
  <si>
    <t>945 - Convenience Store/Gas Station GFA 4-10K (ITE)</t>
  </si>
  <si>
    <t>* 38 counts for weekday</t>
  </si>
  <si>
    <t>* 5 counts for weekday</t>
  </si>
  <si>
    <t>945 - Convenience Store/Gas Station (GFA 2-4K)</t>
  </si>
  <si>
    <t>945 - Convenience Store/Gas Station (GFA 4-10K)</t>
  </si>
  <si>
    <t>525 - High School (WisDOT)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</si>
</sst>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5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2" xfId="0" applyNumberFormat="1" applyBorder="1"/>
    <xf numFmtId="49" fontId="0" fillId="0" borderId="4" xfId="0" applyNumberFormat="1" applyBorder="1"/>
    <xf numFmtId="49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Fill="1" applyBorder="1"/>
    <xf numFmtId="0" fontId="0" fillId="0" borderId="6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5" xfId="0" applyBorder="1"/>
    <xf numFmtId="10" fontId="0" fillId="0" borderId="0" xfId="0" applyNumberFormat="1" applyBorder="1"/>
    <xf numFmtId="10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10" fontId="0" fillId="0" borderId="15" xfId="0" applyNumberFormat="1" applyBorder="1"/>
    <xf numFmtId="10" fontId="0" fillId="0" borderId="11" xfId="0" applyNumberFormat="1" applyBorder="1"/>
    <xf numFmtId="10" fontId="0" fillId="0" borderId="0" xfId="0" applyNumberFormat="1"/>
    <xf numFmtId="0" fontId="0" fillId="0" borderId="16" xfId="0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1" fillId="0" borderId="0" xfId="1" applyNumberFormat="1"/>
    <xf numFmtId="9" fontId="1" fillId="0" borderId="0" xfId="1"/>
    <xf numFmtId="0" fontId="0" fillId="0" borderId="0" xfId="0" applyFill="1" applyBorder="1"/>
    <xf numFmtId="0" fontId="2" fillId="0" borderId="7" xfId="0" applyFont="1" applyBorder="1"/>
    <xf numFmtId="0" fontId="0" fillId="0" borderId="8" xfId="0" applyBorder="1"/>
    <xf numFmtId="0" fontId="0" fillId="0" borderId="17" xfId="0" applyBorder="1"/>
    <xf numFmtId="49" fontId="0" fillId="0" borderId="18" xfId="0" applyNumberFormat="1" applyBorder="1"/>
    <xf numFmtId="0" fontId="0" fillId="0" borderId="19" xfId="0" applyBorder="1"/>
    <xf numFmtId="0" fontId="0" fillId="0" borderId="20" xfId="0" applyBorder="1"/>
    <xf numFmtId="49" fontId="0" fillId="0" borderId="20" xfId="0" applyNumberFormat="1" applyBorder="1"/>
    <xf numFmtId="164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1" fillId="0" borderId="0" xfId="1" applyNumberFormat="1"/>
    <xf numFmtId="164" fontId="1" fillId="0" borderId="0" xfId="1" applyNumberFormat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164" fontId="1" fillId="0" borderId="15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49" fontId="0" fillId="0" borderId="0" xfId="0" applyNumberFormat="1" applyFill="1" applyBorder="1"/>
    <xf numFmtId="1" fontId="0" fillId="0" borderId="0" xfId="0" applyNumberFormat="1" applyAlignment="1">
      <alignment horizontal="center"/>
    </xf>
    <xf numFmtId="10" fontId="0" fillId="0" borderId="15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7" xfId="0" applyBorder="1"/>
    <xf numFmtId="164" fontId="1" fillId="0" borderId="21" xfId="1" applyNumberFormat="1" applyBorder="1" applyAlignment="1">
      <alignment horizontal="center"/>
    </xf>
    <xf numFmtId="0" fontId="2" fillId="0" borderId="6" xfId="0" applyFont="1" applyBorder="1"/>
    <xf numFmtId="0" fontId="0" fillId="0" borderId="23" xfId="0" applyFill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4" fillId="0" borderId="0" xfId="0" applyFont="1"/>
    <xf numFmtId="9" fontId="1" fillId="0" borderId="0" xfId="1" applyFont="1"/>
    <xf numFmtId="10" fontId="3" fillId="0" borderId="12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/>
    <xf numFmtId="1" fontId="0" fillId="0" borderId="0" xfId="0" applyNumberFormat="1" applyBorder="1" applyAlignment="1">
      <alignment horizontal="center"/>
    </xf>
    <xf numFmtId="49" fontId="0" fillId="0" borderId="24" xfId="0" applyNumberFormat="1" applyBorder="1"/>
    <xf numFmtId="49" fontId="0" fillId="0" borderId="25" xfId="0" applyNumberFormat="1" applyBorder="1"/>
    <xf numFmtId="0" fontId="0" fillId="0" borderId="15" xfId="0" applyBorder="1" applyAlignment="1">
      <alignment horizontal="center"/>
    </xf>
    <xf numFmtId="49" fontId="0" fillId="0" borderId="26" xfId="0" applyNumberFormat="1" applyBorder="1"/>
    <xf numFmtId="49" fontId="0" fillId="0" borderId="27" xfId="0" applyNumberFormat="1" applyBorder="1"/>
    <xf numFmtId="164" fontId="0" fillId="0" borderId="1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9" fontId="2" fillId="0" borderId="0" xfId="0" applyNumberFormat="1" applyFont="1" applyFill="1" applyBorder="1"/>
    <xf numFmtId="49" fontId="5" fillId="0" borderId="2" xfId="0" applyNumberFormat="1" applyFont="1" applyBorder="1"/>
    <xf numFmtId="0" fontId="0" fillId="0" borderId="28" xfId="0" applyBorder="1"/>
    <xf numFmtId="0" fontId="0" fillId="0" borderId="4" xfId="0" applyBorder="1"/>
    <xf numFmtId="49" fontId="5" fillId="0" borderId="28" xfId="0" applyNumberFormat="1" applyFont="1" applyBorder="1"/>
    <xf numFmtId="164" fontId="1" fillId="0" borderId="12" xfId="1" applyNumberFormat="1" applyBorder="1" applyAlignment="1">
      <alignment horizontal="center"/>
    </xf>
    <xf numFmtId="164" fontId="1" fillId="0" borderId="29" xfId="1" applyNumberFormat="1" applyBorder="1" applyAlignment="1">
      <alignment horizontal="center"/>
    </xf>
    <xf numFmtId="0" fontId="0" fillId="0" borderId="30" xfId="0" applyBorder="1"/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6" fillId="0" borderId="0" xfId="0" applyFont="1"/>
    <xf numFmtId="0" fontId="0" fillId="3" borderId="53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49" fontId="0" fillId="3" borderId="58" xfId="0" applyNumberFormat="1" applyFill="1" applyBorder="1" applyAlignment="1">
      <alignment horizontal="left"/>
    </xf>
    <xf numFmtId="164" fontId="1" fillId="3" borderId="55" xfId="1" applyNumberFormat="1" applyFill="1" applyBorder="1" applyAlignment="1">
      <alignment horizontal="center"/>
    </xf>
    <xf numFmtId="164" fontId="1" fillId="3" borderId="48" xfId="1" applyNumberFormat="1" applyFill="1" applyBorder="1" applyAlignment="1">
      <alignment horizontal="center"/>
    </xf>
    <xf numFmtId="49" fontId="0" fillId="3" borderId="57" xfId="0" applyNumberFormat="1" applyFill="1" applyBorder="1" applyAlignment="1">
      <alignment horizontal="left"/>
    </xf>
    <xf numFmtId="164" fontId="1" fillId="3" borderId="49" xfId="1" applyNumberFormat="1" applyFill="1" applyBorder="1" applyAlignment="1">
      <alignment horizontal="center"/>
    </xf>
    <xf numFmtId="164" fontId="1" fillId="3" borderId="44" xfId="1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49" fontId="0" fillId="3" borderId="59" xfId="0" applyNumberFormat="1" applyFill="1" applyBorder="1" applyAlignment="1">
      <alignment horizontal="left"/>
    </xf>
    <xf numFmtId="164" fontId="0" fillId="3" borderId="56" xfId="0" applyNumberFormat="1" applyFill="1" applyBorder="1" applyAlignment="1">
      <alignment horizontal="center"/>
    </xf>
    <xf numFmtId="164" fontId="1" fillId="3" borderId="45" xfId="1" applyNumberFormat="1" applyFill="1" applyBorder="1" applyAlignment="1">
      <alignment horizontal="center"/>
    </xf>
    <xf numFmtId="0" fontId="0" fillId="3" borderId="39" xfId="0" applyFill="1" applyBorder="1"/>
    <xf numFmtId="164" fontId="1" fillId="3" borderId="46" xfId="1" applyNumberFormat="1" applyFill="1" applyBorder="1" applyAlignment="1">
      <alignment horizontal="center"/>
    </xf>
    <xf numFmtId="164" fontId="1" fillId="3" borderId="47" xfId="1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49" fontId="0" fillId="3" borderId="14" xfId="0" applyNumberFormat="1" applyFill="1" applyBorder="1" applyAlignment="1">
      <alignment horizontal="left"/>
    </xf>
    <xf numFmtId="0" fontId="0" fillId="0" borderId="0" xfId="0" applyAlignment="1">
      <alignment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49" fontId="0" fillId="3" borderId="60" xfId="0" applyNumberFormat="1" applyFill="1" applyBorder="1" applyAlignment="1">
      <alignment horizontal="left" vertical="center"/>
    </xf>
    <xf numFmtId="49" fontId="0" fillId="3" borderId="57" xfId="0" applyNumberFormat="1" applyFill="1" applyBorder="1" applyAlignment="1">
      <alignment horizontal="left" vertical="center"/>
    </xf>
    <xf numFmtId="164" fontId="1" fillId="3" borderId="42" xfId="1" applyNumberFormat="1" applyFill="1" applyBorder="1" applyAlignment="1">
      <alignment horizontal="center"/>
    </xf>
    <xf numFmtId="164" fontId="1" fillId="3" borderId="43" xfId="1" applyNumberFormat="1" applyFill="1" applyBorder="1" applyAlignment="1">
      <alignment horizontal="center"/>
    </xf>
    <xf numFmtId="164" fontId="1" fillId="3" borderId="38" xfId="1" applyNumberFormat="1" applyFill="1" applyBorder="1" applyAlignment="1">
      <alignment horizontal="center"/>
    </xf>
    <xf numFmtId="0" fontId="5" fillId="3" borderId="62" xfId="0" applyFont="1" applyFill="1" applyBorder="1" applyAlignment="1">
      <alignment horizontal="left"/>
    </xf>
    <xf numFmtId="164" fontId="1" fillId="3" borderId="53" xfId="1" applyNumberFormat="1" applyFill="1" applyBorder="1" applyAlignment="1">
      <alignment horizontal="center"/>
    </xf>
    <xf numFmtId="164" fontId="1" fillId="3" borderId="54" xfId="1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64" fontId="1" fillId="3" borderId="41" xfId="1" applyNumberFormat="1" applyFill="1" applyBorder="1" applyAlignment="1">
      <alignment horizontal="center"/>
    </xf>
    <xf numFmtId="0" fontId="5" fillId="3" borderId="41" xfId="0" quotePrefix="1" applyFont="1" applyFill="1" applyBorder="1" applyAlignment="1">
      <alignment horizontal="center"/>
    </xf>
    <xf numFmtId="0" fontId="5" fillId="3" borderId="48" xfId="0" quotePrefix="1" applyFont="1" applyFill="1" applyBorder="1" applyAlignment="1">
      <alignment horizontal="center"/>
    </xf>
    <xf numFmtId="0" fontId="0" fillId="3" borderId="19" xfId="0" applyFill="1" applyBorder="1"/>
    <xf numFmtId="164" fontId="0" fillId="3" borderId="38" xfId="0" applyNumberFormat="1" applyFill="1" applyBorder="1" applyAlignment="1">
      <alignment horizontal="center"/>
    </xf>
    <xf numFmtId="164" fontId="0" fillId="3" borderId="53" xfId="0" applyNumberFormat="1" applyFill="1" applyBorder="1" applyAlignment="1">
      <alignment horizontal="center"/>
    </xf>
    <xf numFmtId="49" fontId="0" fillId="3" borderId="60" xfId="0" applyNumberFormat="1" applyFill="1" applyBorder="1"/>
    <xf numFmtId="49" fontId="0" fillId="3" borderId="57" xfId="0" applyNumberFormat="1" applyFill="1" applyBorder="1"/>
    <xf numFmtId="49" fontId="0" fillId="3" borderId="62" xfId="0" applyNumberFormat="1" applyFill="1" applyBorder="1"/>
    <xf numFmtId="0" fontId="7" fillId="0" borderId="0" xfId="0" applyFo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3" borderId="57" xfId="0" applyNumberFormat="1" applyFont="1" applyFill="1" applyBorder="1" applyAlignment="1">
      <alignment horizontal="left"/>
    </xf>
    <xf numFmtId="0" fontId="0" fillId="3" borderId="64" xfId="0" applyFill="1" applyBorder="1" applyAlignment="1">
      <alignment horizontal="center"/>
    </xf>
    <xf numFmtId="49" fontId="5" fillId="3" borderId="57" xfId="0" applyNumberFormat="1" applyFont="1" applyFill="1" applyBorder="1" applyAlignment="1">
      <alignment horizontal="left"/>
    </xf>
    <xf numFmtId="49" fontId="5" fillId="3" borderId="62" xfId="0" applyNumberFormat="1" applyFont="1" applyFill="1" applyBorder="1" applyAlignment="1">
      <alignment horizontal="left"/>
    </xf>
    <xf numFmtId="164" fontId="0" fillId="3" borderId="72" xfId="0" applyNumberFormat="1" applyFill="1" applyBorder="1" applyAlignment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70" xfId="0" applyNumberFormat="1" applyFill="1" applyBorder="1" applyAlignment="1">
      <alignment horizontal="center"/>
    </xf>
    <xf numFmtId="164" fontId="0" fillId="3" borderId="69" xfId="0" applyNumberFormat="1" applyFill="1" applyBorder="1" applyAlignment="1">
      <alignment horizontal="center"/>
    </xf>
    <xf numFmtId="164" fontId="0" fillId="3" borderId="43" xfId="0" applyNumberFormat="1" applyFill="1" applyBorder="1" applyAlignment="1">
      <alignment horizontal="center"/>
    </xf>
    <xf numFmtId="164" fontId="0" fillId="3" borderId="71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64" xfId="0" applyNumberFormat="1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164" fontId="0" fillId="3" borderId="54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64" fontId="5" fillId="3" borderId="7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5" fillId="3" borderId="44" xfId="0" applyNumberFormat="1" applyFont="1" applyFill="1" applyBorder="1" applyAlignment="1">
      <alignment horizontal="center"/>
    </xf>
    <xf numFmtId="164" fontId="5" fillId="3" borderId="49" xfId="0" applyNumberFormat="1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3" borderId="57" xfId="0" applyNumberFormat="1" applyFont="1" applyFill="1" applyBorder="1" applyAlignment="1">
      <alignment horizontal="left" vertical="center"/>
    </xf>
    <xf numFmtId="49" fontId="0" fillId="3" borderId="57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left" vertical="center"/>
    </xf>
    <xf numFmtId="49" fontId="0" fillId="3" borderId="82" xfId="0" applyNumberFormat="1" applyFill="1" applyBorder="1" applyAlignment="1">
      <alignment horizontal="left" vertical="center"/>
    </xf>
    <xf numFmtId="49" fontId="0" fillId="3" borderId="83" xfId="0" applyNumberFormat="1" applyFill="1" applyBorder="1" applyAlignment="1">
      <alignment horizontal="left" vertical="center"/>
    </xf>
    <xf numFmtId="49" fontId="5" fillId="3" borderId="83" xfId="0" applyNumberFormat="1" applyFont="1" applyFill="1" applyBorder="1" applyAlignment="1">
      <alignment horizontal="left" vertical="center"/>
    </xf>
    <xf numFmtId="49" fontId="0" fillId="3" borderId="83" xfId="0" applyNumberFormat="1" applyFont="1" applyFill="1" applyBorder="1" applyAlignment="1">
      <alignment horizontal="left" vertical="center"/>
    </xf>
    <xf numFmtId="49" fontId="5" fillId="3" borderId="84" xfId="0" applyNumberFormat="1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49" fontId="5" fillId="3" borderId="14" xfId="0" applyNumberFormat="1" applyFont="1" applyFill="1" applyBorder="1" applyAlignment="1">
      <alignment horizontal="left"/>
    </xf>
    <xf numFmtId="49" fontId="0" fillId="3" borderId="14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0" fillId="0" borderId="78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164" fontId="0" fillId="0" borderId="74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73" xfId="0" applyNumberFormat="1" applyBorder="1" applyAlignment="1">
      <alignment horizontal="center" vertical="center"/>
    </xf>
    <xf numFmtId="164" fontId="5" fillId="0" borderId="14" xfId="0" quotePrefix="1" applyNumberFormat="1" applyFont="1" applyBorder="1" applyAlignment="1">
      <alignment horizontal="center"/>
    </xf>
    <xf numFmtId="164" fontId="5" fillId="0" borderId="14" xfId="1" quotePrefix="1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4" xfId="0" quotePrefix="1" applyNumberFormat="1" applyFont="1" applyBorder="1" applyAlignment="1">
      <alignment horizontal="center" vertical="center"/>
    </xf>
    <xf numFmtId="164" fontId="5" fillId="0" borderId="14" xfId="0" quotePrefix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5" fillId="0" borderId="0" xfId="0" quotePrefix="1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4" fontId="0" fillId="0" borderId="42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0" borderId="86" xfId="0" applyNumberFormat="1" applyBorder="1" applyAlignment="1">
      <alignment horizontal="center" vertical="center"/>
    </xf>
    <xf numFmtId="164" fontId="0" fillId="0" borderId="70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5" fillId="0" borderId="0" xfId="0" quotePrefix="1" applyNumberFormat="1" applyFont="1" applyAlignment="1">
      <alignment horizontal="center"/>
    </xf>
    <xf numFmtId="164" fontId="0" fillId="0" borderId="38" xfId="0" applyNumberFormat="1" applyBorder="1" applyAlignment="1">
      <alignment horizontal="center" vertical="center"/>
    </xf>
    <xf numFmtId="164" fontId="0" fillId="0" borderId="87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4" xfId="0" quotePrefix="1" applyNumberFormat="1" applyFont="1" applyBorder="1" applyAlignment="1">
      <alignment horizontal="center" vertical="center"/>
    </xf>
    <xf numFmtId="164" fontId="1" fillId="3" borderId="71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49" fontId="1" fillId="3" borderId="57" xfId="0" applyNumberFormat="1" applyFont="1" applyFill="1" applyBorder="1" applyAlignment="1">
      <alignment horizontal="left"/>
    </xf>
    <xf numFmtId="164" fontId="1" fillId="3" borderId="38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3" borderId="62" xfId="0" applyNumberFormat="1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Light Industrial Traffic</a:t>
            </a:r>
          </a:p>
        </c:rich>
      </c:tx>
      <c:layout>
        <c:manualLayout>
          <c:xMode val="edge"/>
          <c:yMode val="edge"/>
          <c:x val="0.3425000000000000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857259779129049"/>
        </c:manualLayout>
      </c:layout>
      <c:lineChart>
        <c:grouping val="standard"/>
        <c:varyColors val="0"/>
        <c:ser>
          <c:idx val="3"/>
          <c:order val="0"/>
          <c:tx>
            <c:strRef>
              <c:f>'110 - Light Industrial (WisDOT)'!$F$73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'110 - Light Industrial (WisDOT)'!$F$61:$F$72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'110 - Light Industrial (WisDOT)'!$J$61:$J$72</c:f>
              <c:numCache>
                <c:formatCode>0.0%</c:formatCode>
                <c:ptCount val="12"/>
                <c:pt idx="0">
                  <c:v>2.5681291413440749E-2</c:v>
                </c:pt>
                <c:pt idx="1">
                  <c:v>4.095837628017765E-2</c:v>
                </c:pt>
                <c:pt idx="2">
                  <c:v>2.946450065999448E-2</c:v>
                </c:pt>
                <c:pt idx="3">
                  <c:v>3.0639104827452374E-2</c:v>
                </c:pt>
                <c:pt idx="4">
                  <c:v>3.9068967663256508E-2</c:v>
                </c:pt>
                <c:pt idx="5">
                  <c:v>5.8830588694396085E-2</c:v>
                </c:pt>
                <c:pt idx="6">
                  <c:v>6.9466644242560827E-2</c:v>
                </c:pt>
                <c:pt idx="7">
                  <c:v>3.9080181674590521E-2</c:v>
                </c:pt>
                <c:pt idx="8">
                  <c:v>7.8886100416063684E-2</c:v>
                </c:pt>
                <c:pt idx="9">
                  <c:v>0.15098434054821766</c:v>
                </c:pt>
                <c:pt idx="10">
                  <c:v>0.11195985013079675</c:v>
                </c:pt>
                <c:pt idx="11">
                  <c:v>8.4172886508080594E-2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08-43A2-8B95-8B3AF2A8EDC9}"/>
            </c:ext>
          </c:extLst>
        </c:ser>
        <c:ser>
          <c:idx val="0"/>
          <c:order val="1"/>
          <c:tx>
            <c:strRef>
              <c:f>'110 - Light Industrial (WisDOT)'!$F$19</c:f>
              <c:strCache>
                <c:ptCount val="1"/>
                <c:pt idx="0">
                  <c:v>WIS 31 / 95th 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(WisDOT)'!$J$7:$J$18</c:f>
              <c:numCache>
                <c:formatCode>0.00%</c:formatCode>
                <c:ptCount val="12"/>
                <c:pt idx="0">
                  <c:v>3.5873192436040043E-2</c:v>
                </c:pt>
                <c:pt idx="1">
                  <c:v>5.6451612903225805E-2</c:v>
                </c:pt>
                <c:pt idx="2">
                  <c:v>2.5305895439377085E-2</c:v>
                </c:pt>
                <c:pt idx="3">
                  <c:v>2.196885428253615E-2</c:v>
                </c:pt>
                <c:pt idx="4">
                  <c:v>3.1979977753058955E-2</c:v>
                </c:pt>
                <c:pt idx="5">
                  <c:v>4.8943270300333706E-2</c:v>
                </c:pt>
                <c:pt idx="6">
                  <c:v>6.5906562847608458E-2</c:v>
                </c:pt>
                <c:pt idx="7">
                  <c:v>3.2814238042269191E-2</c:v>
                </c:pt>
                <c:pt idx="8">
                  <c:v>0.10817575083426029</c:v>
                </c:pt>
                <c:pt idx="9">
                  <c:v>0.14071190211345941</c:v>
                </c:pt>
                <c:pt idx="10">
                  <c:v>9.2324805339265847E-2</c:v>
                </c:pt>
                <c:pt idx="11">
                  <c:v>8.6206896551724144E-2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8-43A2-8B95-8B3AF2A8EDC9}"/>
            </c:ext>
          </c:extLst>
        </c:ser>
        <c:ser>
          <c:idx val="1"/>
          <c:order val="2"/>
          <c:tx>
            <c:strRef>
              <c:f>'110 - Light Industrial (WisDOT)'!$F$37</c:f>
              <c:strCache>
                <c:ptCount val="1"/>
                <c:pt idx="0">
                  <c:v>WIS 158 / 95th Ave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(WisDOT)'!$J$25:$J$36</c:f>
              <c:numCache>
                <c:formatCode>0.00%</c:formatCode>
                <c:ptCount val="12"/>
                <c:pt idx="0">
                  <c:v>2.4096385542168676E-2</c:v>
                </c:pt>
                <c:pt idx="1">
                  <c:v>4.3811610076670317E-2</c:v>
                </c:pt>
                <c:pt idx="2">
                  <c:v>2.8477546549835708E-2</c:v>
                </c:pt>
                <c:pt idx="3">
                  <c:v>3.3953997809419496E-2</c:v>
                </c:pt>
                <c:pt idx="4">
                  <c:v>4.6002190580503831E-2</c:v>
                </c:pt>
                <c:pt idx="5">
                  <c:v>7.4479737130339535E-2</c:v>
                </c:pt>
                <c:pt idx="6">
                  <c:v>6.6812705366922229E-2</c:v>
                </c:pt>
                <c:pt idx="7">
                  <c:v>3.5049288061336253E-2</c:v>
                </c:pt>
                <c:pt idx="8">
                  <c:v>5.6955093099671415E-2</c:v>
                </c:pt>
                <c:pt idx="9">
                  <c:v>0.18072289156626506</c:v>
                </c:pt>
                <c:pt idx="10">
                  <c:v>0.15772179627601315</c:v>
                </c:pt>
                <c:pt idx="11">
                  <c:v>7.4479737130339535E-2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8-43A2-8B95-8B3AF2A8EDC9}"/>
            </c:ext>
          </c:extLst>
        </c:ser>
        <c:ser>
          <c:idx val="2"/>
          <c:order val="3"/>
          <c:tx>
            <c:strRef>
              <c:f>'110 - Light Industrial (WisDOT)'!$F$55</c:f>
              <c:strCache>
                <c:ptCount val="1"/>
                <c:pt idx="0">
                  <c:v>WIS 158 / 68th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(WisDOT)'!$J$43:$J$54</c:f>
              <c:numCache>
                <c:formatCode>0.00%</c:formatCode>
                <c:ptCount val="12"/>
                <c:pt idx="0">
                  <c:v>1.7074296262113521E-2</c:v>
                </c:pt>
                <c:pt idx="1">
                  <c:v>2.2611905860636824E-2</c:v>
                </c:pt>
                <c:pt idx="2">
                  <c:v>3.4610059990770652E-2</c:v>
                </c:pt>
                <c:pt idx="3">
                  <c:v>3.599446239040148E-2</c:v>
                </c:pt>
                <c:pt idx="4">
                  <c:v>3.9224734656206739E-2</c:v>
                </c:pt>
                <c:pt idx="5">
                  <c:v>5.3068758652515001E-2</c:v>
                </c:pt>
                <c:pt idx="6">
                  <c:v>7.5680664513151821E-2</c:v>
                </c:pt>
                <c:pt idx="7">
                  <c:v>4.9377018920166126E-2</c:v>
                </c:pt>
                <c:pt idx="8">
                  <c:v>7.1527457314259343E-2</c:v>
                </c:pt>
                <c:pt idx="9">
                  <c:v>0.13151822796492849</c:v>
                </c:pt>
                <c:pt idx="10">
                  <c:v>8.5832948777111215E-2</c:v>
                </c:pt>
                <c:pt idx="11">
                  <c:v>9.183202584217813E-2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08-43A2-8B95-8B3AF2A8EDC9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'110 - Light Industrial (WisDOT)'!$D$7:$D$18</c:f>
              <c:numCache>
                <c:formatCode>0.0%</c:formatCode>
                <c:ptCount val="12"/>
                <c:pt idx="0">
                  <c:v>2.5999999999999999E-2</c:v>
                </c:pt>
                <c:pt idx="1">
                  <c:v>4.1000000000000002E-2</c:v>
                </c:pt>
                <c:pt idx="2">
                  <c:v>0.03</c:v>
                </c:pt>
                <c:pt idx="3">
                  <c:v>3.1E-2</c:v>
                </c:pt>
                <c:pt idx="4">
                  <c:v>3.9E-2</c:v>
                </c:pt>
                <c:pt idx="5">
                  <c:v>5.8999999999999997E-2</c:v>
                </c:pt>
                <c:pt idx="6">
                  <c:v>7.0000000000000007E-2</c:v>
                </c:pt>
                <c:pt idx="7">
                  <c:v>3.9E-2</c:v>
                </c:pt>
                <c:pt idx="8">
                  <c:v>7.9000000000000001E-2</c:v>
                </c:pt>
                <c:pt idx="9">
                  <c:v>0.151</c:v>
                </c:pt>
                <c:pt idx="10">
                  <c:v>0.112</c:v>
                </c:pt>
                <c:pt idx="11">
                  <c:v>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08-43A2-8B95-8B3AF2A8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12640"/>
        <c:axId val="82539936"/>
      </c:lineChart>
      <c:catAx>
        <c:axId val="20561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3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53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6667266591676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61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500000000000001E-2"/>
          <c:y val="0.93904941882264714"/>
          <c:w val="0.97499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Movie Theater Traffic</a:t>
            </a:r>
          </a:p>
        </c:rich>
      </c:tx>
      <c:layout>
        <c:manualLayout>
          <c:xMode val="edge"/>
          <c:yMode val="edge"/>
          <c:x val="0.354271620570041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'&lt;445 - Movie Theater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'&lt;445 - Movie Theater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'&lt;445 - Movie Theater (WisDOT)&gt;'!$H$62:$H$73</c:f>
              <c:numCache>
                <c:formatCode>0.00%</c:formatCode>
                <c:ptCount val="12"/>
                <c:pt idx="0">
                  <c:v>6.4252336448598129E-3</c:v>
                </c:pt>
                <c:pt idx="1">
                  <c:v>5.2570093457943922E-3</c:v>
                </c:pt>
                <c:pt idx="2">
                  <c:v>8.7616822429906534E-3</c:v>
                </c:pt>
                <c:pt idx="3">
                  <c:v>7.0093457943925233E-3</c:v>
                </c:pt>
                <c:pt idx="4">
                  <c:v>2.1612149532710279E-2</c:v>
                </c:pt>
                <c:pt idx="5">
                  <c:v>0.11039719626168225</c:v>
                </c:pt>
                <c:pt idx="6">
                  <c:v>8.3528037383177572E-2</c:v>
                </c:pt>
                <c:pt idx="7">
                  <c:v>6.4836448598130841E-2</c:v>
                </c:pt>
                <c:pt idx="8">
                  <c:v>4.55607476635514E-2</c:v>
                </c:pt>
                <c:pt idx="9">
                  <c:v>4.1471962616822428E-2</c:v>
                </c:pt>
                <c:pt idx="10">
                  <c:v>6.0163551401869159E-2</c:v>
                </c:pt>
                <c:pt idx="11">
                  <c:v>7.9439252336448593E-2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7-4E3E-AB69-021254053010}"/>
            </c:ext>
          </c:extLst>
        </c:ser>
        <c:ser>
          <c:idx val="0"/>
          <c:order val="1"/>
          <c:tx>
            <c:strRef>
              <c:f>'&lt;445 - Movie Theater (WisDOT)&gt;'!$F$19</c:f>
              <c:strCache>
                <c:ptCount val="1"/>
                <c:pt idx="0">
                  <c:v>County O / Ridge Drwy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'&lt;445 - Movie Theater (WisDOT)&gt;'!$H$7:$H$18</c:f>
              <c:numCache>
                <c:formatCode>0.00%</c:formatCode>
                <c:ptCount val="12"/>
                <c:pt idx="0">
                  <c:v>6.4252336448598129E-3</c:v>
                </c:pt>
                <c:pt idx="1">
                  <c:v>5.2570093457943922E-3</c:v>
                </c:pt>
                <c:pt idx="2">
                  <c:v>8.7616822429906534E-3</c:v>
                </c:pt>
                <c:pt idx="3">
                  <c:v>7.0093457943925233E-3</c:v>
                </c:pt>
                <c:pt idx="4">
                  <c:v>2.1612149532710279E-2</c:v>
                </c:pt>
                <c:pt idx="5">
                  <c:v>0.11039719626168225</c:v>
                </c:pt>
                <c:pt idx="6">
                  <c:v>8.3528037383177572E-2</c:v>
                </c:pt>
                <c:pt idx="7">
                  <c:v>6.4836448598130841E-2</c:v>
                </c:pt>
                <c:pt idx="8">
                  <c:v>4.55607476635514E-2</c:v>
                </c:pt>
                <c:pt idx="9">
                  <c:v>4.1471962616822428E-2</c:v>
                </c:pt>
                <c:pt idx="10">
                  <c:v>6.0163551401869159E-2</c:v>
                </c:pt>
                <c:pt idx="11">
                  <c:v>7.9439252336448593E-2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7-4E3E-AB69-021254053010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'&lt;445 - Movie Theater (WisDOT)&gt;'!$C$7:$C$18</c:f>
              <c:numCache>
                <c:formatCode>0.0%</c:formatCode>
                <c:ptCount val="12"/>
                <c:pt idx="0">
                  <c:v>6.0000000000000001E-3</c:v>
                </c:pt>
                <c:pt idx="1">
                  <c:v>5.0000000000000001E-3</c:v>
                </c:pt>
                <c:pt idx="2">
                  <c:v>8.9999999999999993E-3</c:v>
                </c:pt>
                <c:pt idx="3">
                  <c:v>7.0000000000000001E-3</c:v>
                </c:pt>
                <c:pt idx="4">
                  <c:v>2.1999999999999999E-2</c:v>
                </c:pt>
                <c:pt idx="5">
                  <c:v>0.11</c:v>
                </c:pt>
                <c:pt idx="6">
                  <c:v>8.4000000000000005E-2</c:v>
                </c:pt>
                <c:pt idx="7">
                  <c:v>6.5000000000000002E-2</c:v>
                </c:pt>
                <c:pt idx="8">
                  <c:v>4.5999999999999999E-2</c:v>
                </c:pt>
                <c:pt idx="9">
                  <c:v>4.2000000000000003E-2</c:v>
                </c:pt>
                <c:pt idx="10">
                  <c:v>0.06</c:v>
                </c:pt>
                <c:pt idx="11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7-4E3E-AB69-02125405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90888"/>
        <c:axId val="206891280"/>
      </c:lineChart>
      <c:catAx>
        <c:axId val="2068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9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0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46244345085005"/>
          <c:y val="0.93415832280224231"/>
          <c:w val="0.59799034542792717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Rec Center Traffic</a:t>
            </a:r>
          </a:p>
        </c:rich>
      </c:tx>
      <c:layout>
        <c:manualLayout>
          <c:xMode val="edge"/>
          <c:yMode val="edge"/>
          <c:x val="0.3596259491627717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29459763444549E-2"/>
          <c:y val="0.16820276497695852"/>
          <c:w val="0.90775460326143365"/>
          <c:h val="0.56682027649769584"/>
        </c:manualLayout>
      </c:layout>
      <c:lineChart>
        <c:grouping val="standard"/>
        <c:varyColors val="0"/>
        <c:ser>
          <c:idx val="3"/>
          <c:order val="0"/>
          <c:tx>
            <c:strRef>
              <c:f>'495 - Rec. Center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'495 - Rec. Center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'495 - Rec. Center (WisDOT)'!$H$62:$H$73</c:f>
              <c:numCache>
                <c:formatCode>0.00%</c:formatCode>
                <c:ptCount val="12"/>
                <c:pt idx="0">
                  <c:v>2.9571121788434501E-2</c:v>
                </c:pt>
                <c:pt idx="1">
                  <c:v>4.7150081624875759E-2</c:v>
                </c:pt>
                <c:pt idx="2">
                  <c:v>7.9157075100035529E-2</c:v>
                </c:pt>
                <c:pt idx="3">
                  <c:v>6.7409015300158096E-2</c:v>
                </c:pt>
                <c:pt idx="4">
                  <c:v>6.2448437282741368E-2</c:v>
                </c:pt>
                <c:pt idx="5">
                  <c:v>5.4111370319444227E-2</c:v>
                </c:pt>
                <c:pt idx="6">
                  <c:v>5.4147161668752344E-2</c:v>
                </c:pt>
                <c:pt idx="7">
                  <c:v>4.5949397726863087E-2</c:v>
                </c:pt>
                <c:pt idx="8">
                  <c:v>5.6167699208470451E-2</c:v>
                </c:pt>
                <c:pt idx="9">
                  <c:v>8.9392628526992868E-2</c:v>
                </c:pt>
                <c:pt idx="10">
                  <c:v>9.8930379388302667E-2</c:v>
                </c:pt>
                <c:pt idx="11">
                  <c:v>0.14425355724813449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A-476B-A4DF-6E96DCDA1564}"/>
            </c:ext>
          </c:extLst>
        </c:ser>
        <c:ser>
          <c:idx val="0"/>
          <c:order val="1"/>
          <c:tx>
            <c:strRef>
              <c:f>'495 - Rec. Center (WisDOT)'!$F$19</c:f>
              <c:strCache>
                <c:ptCount val="1"/>
                <c:pt idx="0">
                  <c:v>WIS 57 / Schroeder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'495 - Rec. Center (WisDOT)'!$H$7:$H$18</c:f>
              <c:numCache>
                <c:formatCode>0.00%</c:formatCode>
                <c:ptCount val="12"/>
                <c:pt idx="0">
                  <c:v>2.7810650887573965E-2</c:v>
                </c:pt>
                <c:pt idx="1">
                  <c:v>4.5562130177514794E-2</c:v>
                </c:pt>
                <c:pt idx="2">
                  <c:v>8.5207100591715976E-2</c:v>
                </c:pt>
                <c:pt idx="3">
                  <c:v>7.0414201183431946E-2</c:v>
                </c:pt>
                <c:pt idx="4">
                  <c:v>6.7455621301775154E-2</c:v>
                </c:pt>
                <c:pt idx="5">
                  <c:v>6.0355029585798817E-2</c:v>
                </c:pt>
                <c:pt idx="6">
                  <c:v>4.9112426035502955E-2</c:v>
                </c:pt>
                <c:pt idx="7">
                  <c:v>4.142011834319527E-2</c:v>
                </c:pt>
                <c:pt idx="8">
                  <c:v>3.3136094674556214E-2</c:v>
                </c:pt>
                <c:pt idx="9">
                  <c:v>7.8698224852071008E-2</c:v>
                </c:pt>
                <c:pt idx="10">
                  <c:v>8.9940828402366862E-2</c:v>
                </c:pt>
                <c:pt idx="11">
                  <c:v>0.12662721893491125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A-476B-A4DF-6E96DCDA1564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'495 - Rec. Center (WisDOT)'!$C$7:$C$18</c:f>
              <c:numCache>
                <c:formatCode>0.0%</c:formatCode>
                <c:ptCount val="12"/>
                <c:pt idx="0">
                  <c:v>0.03</c:v>
                </c:pt>
                <c:pt idx="1">
                  <c:v>4.7E-2</c:v>
                </c:pt>
                <c:pt idx="2">
                  <c:v>7.9000000000000001E-2</c:v>
                </c:pt>
                <c:pt idx="3">
                  <c:v>6.7000000000000004E-2</c:v>
                </c:pt>
                <c:pt idx="4">
                  <c:v>6.2E-2</c:v>
                </c:pt>
                <c:pt idx="5">
                  <c:v>5.3999999999999999E-2</c:v>
                </c:pt>
                <c:pt idx="6">
                  <c:v>5.3999999999999999E-2</c:v>
                </c:pt>
                <c:pt idx="7">
                  <c:v>4.5999999999999999E-2</c:v>
                </c:pt>
                <c:pt idx="8">
                  <c:v>5.6000000000000001E-2</c:v>
                </c:pt>
                <c:pt idx="9">
                  <c:v>8.8999999999999996E-2</c:v>
                </c:pt>
                <c:pt idx="10">
                  <c:v>9.9000000000000005E-2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A-476B-A4DF-6E96DCDA1564}"/>
            </c:ext>
          </c:extLst>
        </c:ser>
        <c:ser>
          <c:idx val="1"/>
          <c:order val="3"/>
          <c:tx>
            <c:strRef>
              <c:f>'495 - Rec. Center (WisDOT)'!$F$37</c:f>
              <c:strCache>
                <c:ptCount val="1"/>
                <c:pt idx="0">
                  <c:v>WIS 33 / Northwoods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(WisDOT)'!$H$25:$H$36</c:f>
              <c:numCache>
                <c:formatCode>0.00%</c:formatCode>
                <c:ptCount val="12"/>
                <c:pt idx="0">
                  <c:v>3.1331592689295036E-2</c:v>
                </c:pt>
                <c:pt idx="1">
                  <c:v>4.8738033072236731E-2</c:v>
                </c:pt>
                <c:pt idx="2">
                  <c:v>7.3107049608355096E-2</c:v>
                </c:pt>
                <c:pt idx="3">
                  <c:v>6.4403829416884245E-2</c:v>
                </c:pt>
                <c:pt idx="4">
                  <c:v>5.7441253263707574E-2</c:v>
                </c:pt>
                <c:pt idx="5">
                  <c:v>4.7867711053089644E-2</c:v>
                </c:pt>
                <c:pt idx="6">
                  <c:v>5.918189730200174E-2</c:v>
                </c:pt>
                <c:pt idx="7">
                  <c:v>5.0478677110530897E-2</c:v>
                </c:pt>
                <c:pt idx="8">
                  <c:v>7.919930374238468E-2</c:v>
                </c:pt>
                <c:pt idx="9">
                  <c:v>0.10008703220191471</c:v>
                </c:pt>
                <c:pt idx="10">
                  <c:v>0.10791993037423847</c:v>
                </c:pt>
                <c:pt idx="11">
                  <c:v>0.16187989556135771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A-476B-A4DF-6E96DCDA1564}"/>
            </c:ext>
          </c:extLst>
        </c:ser>
        <c:ser>
          <c:idx val="2"/>
          <c:order val="4"/>
          <c:tx>
            <c:strRef>
              <c:f>'495 - Rec. Center (WisDOT)'!$F$55</c:f>
              <c:strCache>
                <c:ptCount val="1"/>
                <c:pt idx="0">
                  <c:v>CTH B/Eastlake Dr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(WisDOT)'!$H$43:$H$54</c:f>
              <c:numCache>
                <c:formatCode>0.00%</c:formatCode>
                <c:ptCount val="12"/>
                <c:pt idx="0">
                  <c:v>3.1579207222457328E-2</c:v>
                </c:pt>
                <c:pt idx="1">
                  <c:v>3.1579207222457328E-2</c:v>
                </c:pt>
                <c:pt idx="2">
                  <c:v>4.2105609629943107E-2</c:v>
                </c:pt>
                <c:pt idx="3">
                  <c:v>9.4737621667371985E-2</c:v>
                </c:pt>
                <c:pt idx="4">
                  <c:v>6.3158414444914657E-2</c:v>
                </c:pt>
                <c:pt idx="5">
                  <c:v>5.2632012037428885E-2</c:v>
                </c:pt>
                <c:pt idx="6">
                  <c:v>5.2632012037428885E-2</c:v>
                </c:pt>
                <c:pt idx="7">
                  <c:v>6.3158414444914657E-2</c:v>
                </c:pt>
                <c:pt idx="8">
                  <c:v>5.2632012037428885E-2</c:v>
                </c:pt>
                <c:pt idx="9">
                  <c:v>8.4211219259886214E-2</c:v>
                </c:pt>
                <c:pt idx="10">
                  <c:v>0.10526402407485777</c:v>
                </c:pt>
                <c:pt idx="11">
                  <c:v>0.11579042648234353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8A-476B-A4DF-6E96DCDA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92064"/>
        <c:axId val="206892456"/>
      </c:lineChart>
      <c:catAx>
        <c:axId val="2068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2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92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09104944769603"/>
          <c:y val="0.87557603686635943"/>
          <c:w val="0.73663143711314161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Rec Center Traffic</a:t>
            </a:r>
          </a:p>
        </c:rich>
      </c:tx>
      <c:layout>
        <c:manualLayout>
          <c:xMode val="edge"/>
          <c:yMode val="edge"/>
          <c:x val="0.3502676603927182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0921658986175111"/>
        </c:manualLayout>
      </c:layout>
      <c:lineChart>
        <c:grouping val="standard"/>
        <c:varyColors val="0"/>
        <c:ser>
          <c:idx val="3"/>
          <c:order val="0"/>
          <c:tx>
            <c:strRef>
              <c:f>'495 - Rec. Center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'495 - Rec. Center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'495 - Rec. Center (WisDOT)'!$J$62:$J$73</c:f>
              <c:numCache>
                <c:formatCode>0.00%</c:formatCode>
                <c:ptCount val="12"/>
                <c:pt idx="0">
                  <c:v>3.9549098196392782E-2</c:v>
                </c:pt>
                <c:pt idx="1">
                  <c:v>7.4123631879142893E-2</c:v>
                </c:pt>
                <c:pt idx="2">
                  <c:v>5.9472791737320799E-2</c:v>
                </c:pt>
                <c:pt idx="3">
                  <c:v>5.5667488823801445E-2</c:v>
                </c:pt>
                <c:pt idx="4">
                  <c:v>7.9113611839062736E-2</c:v>
                </c:pt>
                <c:pt idx="5">
                  <c:v>8.6724988438415293E-2</c:v>
                </c:pt>
                <c:pt idx="6">
                  <c:v>6.6608601819022659E-2</c:v>
                </c:pt>
                <c:pt idx="7">
                  <c:v>5.4979189147525823E-2</c:v>
                </c:pt>
                <c:pt idx="8">
                  <c:v>5.4746415908740562E-2</c:v>
                </c:pt>
                <c:pt idx="9">
                  <c:v>6.3450747649144434E-2</c:v>
                </c:pt>
                <c:pt idx="10">
                  <c:v>8.3829967627562813E-2</c:v>
                </c:pt>
                <c:pt idx="11">
                  <c:v>0.11311623246492986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F-43CF-A045-A710BDD11688}"/>
            </c:ext>
          </c:extLst>
        </c:ser>
        <c:ser>
          <c:idx val="0"/>
          <c:order val="1"/>
          <c:tx>
            <c:strRef>
              <c:f>'495 - Rec. Center (WisDOT)'!$F$19</c:f>
              <c:strCache>
                <c:ptCount val="1"/>
                <c:pt idx="0">
                  <c:v>WIS 57 / Schroeder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'495 - Rec. Center (WisDOT)'!$J$7:$J$18</c:f>
              <c:numCache>
                <c:formatCode>0.00%</c:formatCode>
                <c:ptCount val="12"/>
                <c:pt idx="0">
                  <c:v>0.03</c:v>
                </c:pt>
                <c:pt idx="1">
                  <c:v>6.3076923076923072E-2</c:v>
                </c:pt>
                <c:pt idx="2">
                  <c:v>3.0769230769230771E-2</c:v>
                </c:pt>
                <c:pt idx="3">
                  <c:v>5.9230769230769233E-2</c:v>
                </c:pt>
                <c:pt idx="4">
                  <c:v>8.3076923076923076E-2</c:v>
                </c:pt>
                <c:pt idx="5">
                  <c:v>0.10230769230769231</c:v>
                </c:pt>
                <c:pt idx="6">
                  <c:v>6.3076923076923072E-2</c:v>
                </c:pt>
                <c:pt idx="7">
                  <c:v>5.3846153846153849E-2</c:v>
                </c:pt>
                <c:pt idx="8">
                  <c:v>5.5384615384615386E-2</c:v>
                </c:pt>
                <c:pt idx="9">
                  <c:v>6.076923076923077E-2</c:v>
                </c:pt>
                <c:pt idx="10">
                  <c:v>6.8461538461538463E-2</c:v>
                </c:pt>
                <c:pt idx="1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F-43CF-A045-A710BDD11688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'495 - Rec. Center (WisDOT)'!$D$7:$D$18</c:f>
              <c:numCache>
                <c:formatCode>0.0%</c:formatCode>
                <c:ptCount val="12"/>
                <c:pt idx="0">
                  <c:v>0.04</c:v>
                </c:pt>
                <c:pt idx="1">
                  <c:v>7.3999999999999996E-2</c:v>
                </c:pt>
                <c:pt idx="2">
                  <c:v>0.06</c:v>
                </c:pt>
                <c:pt idx="3">
                  <c:v>5.6000000000000001E-2</c:v>
                </c:pt>
                <c:pt idx="4">
                  <c:v>7.9000000000000001E-2</c:v>
                </c:pt>
                <c:pt idx="5">
                  <c:v>8.6999999999999994E-2</c:v>
                </c:pt>
                <c:pt idx="6">
                  <c:v>6.7000000000000004E-2</c:v>
                </c:pt>
                <c:pt idx="7">
                  <c:v>5.5E-2</c:v>
                </c:pt>
                <c:pt idx="8">
                  <c:v>5.5E-2</c:v>
                </c:pt>
                <c:pt idx="9">
                  <c:v>6.4000000000000001E-2</c:v>
                </c:pt>
                <c:pt idx="10">
                  <c:v>8.4000000000000005E-2</c:v>
                </c:pt>
                <c:pt idx="11">
                  <c:v>0.113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8F-43CF-A045-A710BDD11688}"/>
            </c:ext>
          </c:extLst>
        </c:ser>
        <c:ser>
          <c:idx val="1"/>
          <c:order val="3"/>
          <c:tx>
            <c:strRef>
              <c:f>'495 - Rec. Center (WisDOT)'!$F$37</c:f>
              <c:strCache>
                <c:ptCount val="1"/>
                <c:pt idx="0">
                  <c:v>WIS 33 / Northwoods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(WisDOT)'!$J$25:$J$36</c:f>
              <c:numCache>
                <c:formatCode>0.00%</c:formatCode>
                <c:ptCount val="12"/>
                <c:pt idx="0">
                  <c:v>4.9098196392785572E-2</c:v>
                </c:pt>
                <c:pt idx="1">
                  <c:v>8.5170340681362727E-2</c:v>
                </c:pt>
                <c:pt idx="2">
                  <c:v>8.8176352705410826E-2</c:v>
                </c:pt>
                <c:pt idx="3">
                  <c:v>5.2104208416833664E-2</c:v>
                </c:pt>
                <c:pt idx="4">
                  <c:v>7.5150300601202411E-2</c:v>
                </c:pt>
                <c:pt idx="5">
                  <c:v>7.1142284569138278E-2</c:v>
                </c:pt>
                <c:pt idx="6">
                  <c:v>7.0140280561122245E-2</c:v>
                </c:pt>
                <c:pt idx="7">
                  <c:v>5.6112224448897796E-2</c:v>
                </c:pt>
                <c:pt idx="8">
                  <c:v>5.410821643286573E-2</c:v>
                </c:pt>
                <c:pt idx="9">
                  <c:v>6.6132264529058113E-2</c:v>
                </c:pt>
                <c:pt idx="10">
                  <c:v>9.9198396793587176E-2</c:v>
                </c:pt>
                <c:pt idx="11">
                  <c:v>0.11623246492985972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F-43CF-A045-A710BDD11688}"/>
            </c:ext>
          </c:extLst>
        </c:ser>
        <c:ser>
          <c:idx val="2"/>
          <c:order val="4"/>
          <c:tx>
            <c:strRef>
              <c:f>'495 - Rec. Center (WisDOT)'!$F$55</c:f>
              <c:strCache>
                <c:ptCount val="1"/>
                <c:pt idx="0">
                  <c:v>CTH B/Eastlake Dr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(WisDOT)'!$J$43:$J$54</c:f>
              <c:numCache>
                <c:formatCode>0.00%</c:formatCode>
                <c:ptCount val="12"/>
                <c:pt idx="0">
                  <c:v>3.1579207222457328E-2</c:v>
                </c:pt>
                <c:pt idx="1">
                  <c:v>4.7368810833685993E-2</c:v>
                </c:pt>
                <c:pt idx="2">
                  <c:v>3.1579207222457328E-2</c:v>
                </c:pt>
                <c:pt idx="3">
                  <c:v>3.6842408426200221E-2</c:v>
                </c:pt>
                <c:pt idx="4">
                  <c:v>6.8421615648657536E-2</c:v>
                </c:pt>
                <c:pt idx="5">
                  <c:v>7.8948018056143321E-2</c:v>
                </c:pt>
                <c:pt idx="6">
                  <c:v>5.7895213241171764E-2</c:v>
                </c:pt>
                <c:pt idx="7">
                  <c:v>5.2632012037428885E-2</c:v>
                </c:pt>
                <c:pt idx="8">
                  <c:v>5.7895213241171764E-2</c:v>
                </c:pt>
                <c:pt idx="9">
                  <c:v>5.7895213241171764E-2</c:v>
                </c:pt>
                <c:pt idx="10">
                  <c:v>6.8421615648657536E-2</c:v>
                </c:pt>
                <c:pt idx="11">
                  <c:v>9.4737621667371985E-2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8F-43CF-A045-A710BDD11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93240"/>
        <c:axId val="207400872"/>
      </c:lineChart>
      <c:catAx>
        <c:axId val="20689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79262672811059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0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0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3502304147465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3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13383019635914"/>
          <c:y val="0.87557603686635943"/>
          <c:w val="0.7366314371131415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High School Inbound Traffic</a:t>
            </a:r>
          </a:p>
        </c:rich>
      </c:tx>
      <c:layout>
        <c:manualLayout>
          <c:xMode val="edge"/>
          <c:yMode val="edge"/>
          <c:x val="0.36338447985263977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02226184760062"/>
          <c:y val="0.1422680412371134"/>
          <c:w val="0.87656092650244788"/>
          <c:h val="0.63092783505154637"/>
        </c:manualLayout>
      </c:layout>
      <c:lineChart>
        <c:grouping val="standard"/>
        <c:varyColors val="0"/>
        <c:ser>
          <c:idx val="0"/>
          <c:order val="0"/>
          <c:tx>
            <c:strRef>
              <c:f>'525 - High School (WisDOT)'!$F$19</c:f>
              <c:strCache>
                <c:ptCount val="1"/>
                <c:pt idx="0">
                  <c:v>WIS 167 / Homestead HS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(WisDOT)'!$H$7:$H$18</c:f>
              <c:numCache>
                <c:formatCode>0.00%</c:formatCode>
                <c:ptCount val="12"/>
                <c:pt idx="0">
                  <c:v>0.10956175298804781</c:v>
                </c:pt>
                <c:pt idx="1">
                  <c:v>0.28950863213811423</c:v>
                </c:pt>
                <c:pt idx="2">
                  <c:v>2.0584329349269587E-2</c:v>
                </c:pt>
                <c:pt idx="3">
                  <c:v>2.0584329349269587E-2</c:v>
                </c:pt>
                <c:pt idx="4">
                  <c:v>1.5272244355909695E-2</c:v>
                </c:pt>
                <c:pt idx="5">
                  <c:v>1.8592297476759629E-2</c:v>
                </c:pt>
                <c:pt idx="6">
                  <c:v>2.6560424966799469E-2</c:v>
                </c:pt>
                <c:pt idx="7">
                  <c:v>1.9920318725099601E-2</c:v>
                </c:pt>
                <c:pt idx="8">
                  <c:v>6.2416998671978752E-2</c:v>
                </c:pt>
                <c:pt idx="9">
                  <c:v>5.7104913678618856E-2</c:v>
                </c:pt>
                <c:pt idx="10">
                  <c:v>4.7808764940239043E-2</c:v>
                </c:pt>
                <c:pt idx="11">
                  <c:v>6.1088977423638779E-2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2-4EDE-856F-E7E49D20F4F4}"/>
            </c:ext>
          </c:extLst>
        </c:ser>
        <c:ser>
          <c:idx val="1"/>
          <c:order val="1"/>
          <c:tx>
            <c:strRef>
              <c:f>'525 - High School (WisDOT)'!$F$35</c:f>
              <c:strCache>
                <c:ptCount val="1"/>
                <c:pt idx="0">
                  <c:v>WIS 60 / Grafton HS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(WisDOT)'!$H$23:$H$34</c:f>
              <c:numCache>
                <c:formatCode>0.00%</c:formatCode>
                <c:ptCount val="12"/>
                <c:pt idx="0">
                  <c:v>7.0222222222222228E-2</c:v>
                </c:pt>
                <c:pt idx="1">
                  <c:v>0.36266666666666669</c:v>
                </c:pt>
                <c:pt idx="2">
                  <c:v>1.9555555555555555E-2</c:v>
                </c:pt>
                <c:pt idx="3">
                  <c:v>2.4888888888888887E-2</c:v>
                </c:pt>
                <c:pt idx="4">
                  <c:v>2.0444444444444446E-2</c:v>
                </c:pt>
                <c:pt idx="5">
                  <c:v>1.9555555555555555E-2</c:v>
                </c:pt>
                <c:pt idx="6">
                  <c:v>3.7333333333333336E-2</c:v>
                </c:pt>
                <c:pt idx="7">
                  <c:v>2.4888888888888887E-2</c:v>
                </c:pt>
                <c:pt idx="8">
                  <c:v>8.533333333333333E-2</c:v>
                </c:pt>
                <c:pt idx="9">
                  <c:v>2.6666666666666668E-2</c:v>
                </c:pt>
                <c:pt idx="10">
                  <c:v>4.622222222222222E-2</c:v>
                </c:pt>
                <c:pt idx="11">
                  <c:v>5.8666666666666666E-2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2-4EDE-856F-E7E49D20F4F4}"/>
            </c:ext>
          </c:extLst>
        </c:ser>
        <c:ser>
          <c:idx val="2"/>
          <c:order val="2"/>
          <c:tx>
            <c:strRef>
              <c:f>'525 - High School (WisDOT)'!$G$37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(WisDOT)'!$H$39:$H$50</c:f>
              <c:numCache>
                <c:formatCode>0.0%</c:formatCode>
                <c:ptCount val="12"/>
                <c:pt idx="0">
                  <c:v>8.9891987605135018E-2</c:v>
                </c:pt>
                <c:pt idx="1">
                  <c:v>0.32608764940239043</c:v>
                </c:pt>
                <c:pt idx="2">
                  <c:v>2.0069942452412573E-2</c:v>
                </c:pt>
                <c:pt idx="3">
                  <c:v>2.2736609119079237E-2</c:v>
                </c:pt>
                <c:pt idx="4">
                  <c:v>1.785834440017707E-2</c:v>
                </c:pt>
                <c:pt idx="5">
                  <c:v>1.9073926516157594E-2</c:v>
                </c:pt>
                <c:pt idx="6">
                  <c:v>3.1946879150066401E-2</c:v>
                </c:pt>
                <c:pt idx="7">
                  <c:v>2.2404603806994244E-2</c:v>
                </c:pt>
                <c:pt idx="8">
                  <c:v>7.3875166002656034E-2</c:v>
                </c:pt>
                <c:pt idx="9">
                  <c:v>4.188579017264276E-2</c:v>
                </c:pt>
                <c:pt idx="10">
                  <c:v>4.7015493581230632E-2</c:v>
                </c:pt>
                <c:pt idx="11">
                  <c:v>5.9877822045152726E-2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62-4EDE-856F-E7E49D20F4F4}"/>
            </c:ext>
          </c:extLst>
        </c:ser>
        <c:ser>
          <c:idx val="3"/>
          <c:order val="3"/>
          <c:tx>
            <c:strRef>
              <c:f>'525 - High School (WisDOT)'!$B$5</c:f>
              <c:strCache>
                <c:ptCount val="1"/>
                <c:pt idx="0">
                  <c:v>Hour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(WisDOT)'!$C$7:$C$18</c:f>
              <c:numCache>
                <c:formatCode>0.0%</c:formatCode>
                <c:ptCount val="12"/>
                <c:pt idx="0">
                  <c:v>0.08</c:v>
                </c:pt>
                <c:pt idx="1">
                  <c:v>0.32608764940239043</c:v>
                </c:pt>
                <c:pt idx="2">
                  <c:v>2.0069942452412573E-2</c:v>
                </c:pt>
                <c:pt idx="3">
                  <c:v>2.2736609119079199E-2</c:v>
                </c:pt>
                <c:pt idx="4">
                  <c:v>1.785834440017707E-2</c:v>
                </c:pt>
                <c:pt idx="5">
                  <c:v>1.9073926516157594E-2</c:v>
                </c:pt>
                <c:pt idx="6">
                  <c:v>3.1946879150066401E-2</c:v>
                </c:pt>
                <c:pt idx="7">
                  <c:v>2.2404603806994244E-2</c:v>
                </c:pt>
                <c:pt idx="8">
                  <c:v>0.1</c:v>
                </c:pt>
                <c:pt idx="9">
                  <c:v>4.188579017264276E-2</c:v>
                </c:pt>
                <c:pt idx="10">
                  <c:v>4.7015493581230632E-2</c:v>
                </c:pt>
                <c:pt idx="11">
                  <c:v>5.9877822045152726E-2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62-4EDE-856F-E7E49D20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401656"/>
        <c:axId val="207402048"/>
      </c:lineChart>
      <c:catAx>
        <c:axId val="20740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375895974168277"/>
              <c:y val="0.86804123711340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321649484536082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1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04452841453069"/>
          <c:y val="0.93814432989690721"/>
          <c:w val="0.66712942435593614"/>
          <c:h val="4.7422680412371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High School Outbound Traffic</a:t>
            </a:r>
          </a:p>
        </c:rich>
      </c:tx>
      <c:layout>
        <c:manualLayout>
          <c:xMode val="edge"/>
          <c:yMode val="edge"/>
          <c:x val="0.3878116343490304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567867036011084E-2"/>
          <c:y val="0.17878840787289263"/>
          <c:w val="0.88504155124653738"/>
          <c:h val="0.55151678360790601"/>
        </c:manualLayout>
      </c:layout>
      <c:lineChart>
        <c:grouping val="standard"/>
        <c:varyColors val="0"/>
        <c:ser>
          <c:idx val="0"/>
          <c:order val="0"/>
          <c:tx>
            <c:strRef>
              <c:f>'525 - High School (WisDOT)'!$F$19</c:f>
              <c:strCache>
                <c:ptCount val="1"/>
                <c:pt idx="0">
                  <c:v>WIS 167 / Homestead HS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(WisDOT)'!$J$7:$J$18</c:f>
              <c:numCache>
                <c:formatCode>0.00%</c:formatCode>
                <c:ptCount val="12"/>
                <c:pt idx="0">
                  <c:v>3.117692907248636E-2</c:v>
                </c:pt>
                <c:pt idx="1">
                  <c:v>0.10366328916601715</c:v>
                </c:pt>
                <c:pt idx="2">
                  <c:v>1.9485580670303974E-2</c:v>
                </c:pt>
                <c:pt idx="3">
                  <c:v>1.7147310989867499E-2</c:v>
                </c:pt>
                <c:pt idx="4">
                  <c:v>1.9485580670303974E-2</c:v>
                </c:pt>
                <c:pt idx="5">
                  <c:v>2.8838659392049885E-2</c:v>
                </c:pt>
                <c:pt idx="6">
                  <c:v>2.9618082618862042E-2</c:v>
                </c:pt>
                <c:pt idx="7">
                  <c:v>2.5720966484801246E-2</c:v>
                </c:pt>
                <c:pt idx="8">
                  <c:v>0.16601714731098988</c:v>
                </c:pt>
                <c:pt idx="9">
                  <c:v>0.13172252533125486</c:v>
                </c:pt>
                <c:pt idx="10">
                  <c:v>8.1839438815276694E-2</c:v>
                </c:pt>
                <c:pt idx="11">
                  <c:v>9.4310210444271236E-2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F-4890-A5DE-C9BB77272A08}"/>
            </c:ext>
          </c:extLst>
        </c:ser>
        <c:ser>
          <c:idx val="1"/>
          <c:order val="1"/>
          <c:tx>
            <c:strRef>
              <c:f>'525 - High School (WisDOT)'!$F$35</c:f>
              <c:strCache>
                <c:ptCount val="1"/>
                <c:pt idx="0">
                  <c:v>WIS 60 / Grafton HS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(WisDOT)'!$J$23:$J$34</c:f>
              <c:numCache>
                <c:formatCode>0.00%</c:formatCode>
                <c:ptCount val="12"/>
                <c:pt idx="0">
                  <c:v>3.8154392191659274E-2</c:v>
                </c:pt>
                <c:pt idx="1">
                  <c:v>0.16858917480035493</c:v>
                </c:pt>
                <c:pt idx="2">
                  <c:v>3.7267080745341616E-2</c:v>
                </c:pt>
                <c:pt idx="3">
                  <c:v>2.4844720496894408E-2</c:v>
                </c:pt>
                <c:pt idx="4">
                  <c:v>2.2182786157941437E-2</c:v>
                </c:pt>
                <c:pt idx="5">
                  <c:v>3.1055900621118012E-2</c:v>
                </c:pt>
                <c:pt idx="6">
                  <c:v>3.2830523513753325E-2</c:v>
                </c:pt>
                <c:pt idx="7">
                  <c:v>3.992901508429459E-2</c:v>
                </c:pt>
                <c:pt idx="8">
                  <c:v>0.23158828748890861</c:v>
                </c:pt>
                <c:pt idx="9">
                  <c:v>8.2519964507542148E-2</c:v>
                </c:pt>
                <c:pt idx="10">
                  <c:v>4.17036379769299E-2</c:v>
                </c:pt>
                <c:pt idx="11">
                  <c:v>4.6140195208518191E-2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F-4890-A5DE-C9BB77272A08}"/>
            </c:ext>
          </c:extLst>
        </c:ser>
        <c:ser>
          <c:idx val="2"/>
          <c:order val="2"/>
          <c:tx>
            <c:strRef>
              <c:f>'525 - High School (WisDOT)'!$G$37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(WisDOT)'!$J$39:$J$50</c:f>
              <c:numCache>
                <c:formatCode>0.0%</c:formatCode>
                <c:ptCount val="12"/>
                <c:pt idx="0">
                  <c:v>3.4665660632072819E-2</c:v>
                </c:pt>
                <c:pt idx="1">
                  <c:v>0.13612623198318605</c:v>
                </c:pt>
                <c:pt idx="2">
                  <c:v>2.8376330707822795E-2</c:v>
                </c:pt>
                <c:pt idx="3">
                  <c:v>2.0996015743380954E-2</c:v>
                </c:pt>
                <c:pt idx="4">
                  <c:v>2.0834183414122708E-2</c:v>
                </c:pt>
                <c:pt idx="5">
                  <c:v>2.9947280006583948E-2</c:v>
                </c:pt>
                <c:pt idx="6">
                  <c:v>3.1224303066307683E-2</c:v>
                </c:pt>
                <c:pt idx="7">
                  <c:v>3.2824990784547918E-2</c:v>
                </c:pt>
                <c:pt idx="8">
                  <c:v>0.19880271739994926</c:v>
                </c:pt>
                <c:pt idx="9">
                  <c:v>0.10712124491939851</c:v>
                </c:pt>
                <c:pt idx="10">
                  <c:v>6.1771538396103297E-2</c:v>
                </c:pt>
                <c:pt idx="11">
                  <c:v>7.0225202826394717E-2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F-4890-A5DE-C9BB77272A08}"/>
            </c:ext>
          </c:extLst>
        </c:ser>
        <c:ser>
          <c:idx val="3"/>
          <c:order val="3"/>
          <c:tx>
            <c:strRef>
              <c:f>'525 - High School (WisDOT)'!$B$5</c:f>
              <c:strCache>
                <c:ptCount val="1"/>
                <c:pt idx="0">
                  <c:v>Hour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(WisDOT)'!$D$7:$D$18</c:f>
              <c:numCache>
                <c:formatCode>0.0%</c:formatCode>
                <c:ptCount val="12"/>
                <c:pt idx="0">
                  <c:v>3.4665660632072819E-2</c:v>
                </c:pt>
                <c:pt idx="1">
                  <c:v>0.151</c:v>
                </c:pt>
                <c:pt idx="2">
                  <c:v>2.8376330707822795E-2</c:v>
                </c:pt>
                <c:pt idx="3">
                  <c:v>2.0996015743380954E-2</c:v>
                </c:pt>
                <c:pt idx="4">
                  <c:v>2.0834183414122708E-2</c:v>
                </c:pt>
                <c:pt idx="5">
                  <c:v>2.9947280006583948E-2</c:v>
                </c:pt>
                <c:pt idx="6">
                  <c:v>3.1224303066307683E-2</c:v>
                </c:pt>
                <c:pt idx="7">
                  <c:v>3.2824990784547918E-2</c:v>
                </c:pt>
                <c:pt idx="8">
                  <c:v>0.22</c:v>
                </c:pt>
                <c:pt idx="9">
                  <c:v>0.09</c:v>
                </c:pt>
                <c:pt idx="10">
                  <c:v>6.1771538396103297E-2</c:v>
                </c:pt>
                <c:pt idx="11">
                  <c:v>7.0225202826394717E-2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7F-4890-A5DE-C9BB7727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402832"/>
        <c:axId val="207403224"/>
      </c:lineChart>
      <c:catAx>
        <c:axId val="2074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030470914127422"/>
              <c:y val="0.8121237572576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3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3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2160664819944598E-2"/>
              <c:y val="0.2636369999204644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91689750692521"/>
          <c:y val="0.91212375725761552"/>
          <c:w val="0.61495844875346262"/>
          <c:h val="6.66669848087171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General Office Traffic</a:t>
            </a:r>
          </a:p>
        </c:rich>
      </c:tx>
      <c:layout>
        <c:manualLayout>
          <c:xMode val="edge"/>
          <c:yMode val="edge"/>
          <c:x val="0.3462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9714415391397677"/>
        </c:manualLayout>
      </c:layout>
      <c:lineChart>
        <c:grouping val="standard"/>
        <c:varyColors val="0"/>
        <c:ser>
          <c:idx val="3"/>
          <c:order val="0"/>
          <c:tx>
            <c:strRef>
              <c:f>'&lt;710 - General Office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(WisDOT)&gt;'!$J$62:$J$73</c:f>
              <c:numCache>
                <c:formatCode>0.00%</c:formatCode>
                <c:ptCount val="12"/>
                <c:pt idx="0">
                  <c:v>1.6666666666666666E-2</c:v>
                </c:pt>
                <c:pt idx="1">
                  <c:v>1.9444444444444445E-2</c:v>
                </c:pt>
                <c:pt idx="2">
                  <c:v>1.2962962962962963E-2</c:v>
                </c:pt>
                <c:pt idx="3">
                  <c:v>1.5740740740740739E-2</c:v>
                </c:pt>
                <c:pt idx="4">
                  <c:v>1.5740740740740739E-2</c:v>
                </c:pt>
                <c:pt idx="5">
                  <c:v>3.9814814814814817E-2</c:v>
                </c:pt>
                <c:pt idx="6">
                  <c:v>3.888888888888889E-2</c:v>
                </c:pt>
                <c:pt idx="7">
                  <c:v>2.9629629629629631E-2</c:v>
                </c:pt>
                <c:pt idx="8">
                  <c:v>6.5740740740740738E-2</c:v>
                </c:pt>
                <c:pt idx="9">
                  <c:v>0.17777777777777778</c:v>
                </c:pt>
                <c:pt idx="10">
                  <c:v>0.22592592592592592</c:v>
                </c:pt>
                <c:pt idx="11">
                  <c:v>0.13148148148148148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B-4B82-88F1-CE88E11DD911}"/>
            </c:ext>
          </c:extLst>
        </c:ser>
        <c:ser>
          <c:idx val="0"/>
          <c:order val="1"/>
          <c:tx>
            <c:strRef>
              <c:f>'&lt;710 - General Office (WisDOT)&gt;'!$F$19</c:f>
              <c:strCache>
                <c:ptCount val="1"/>
                <c:pt idx="0">
                  <c:v>WIS 241 / NML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(WisDOT)&gt;'!$J$7:$J$18</c:f>
              <c:numCache>
                <c:formatCode>0.00%</c:formatCode>
                <c:ptCount val="12"/>
                <c:pt idx="0">
                  <c:v>1.6666666666666666E-2</c:v>
                </c:pt>
                <c:pt idx="1">
                  <c:v>1.9444444444444445E-2</c:v>
                </c:pt>
                <c:pt idx="2">
                  <c:v>1.2962962962962963E-2</c:v>
                </c:pt>
                <c:pt idx="3">
                  <c:v>1.5740740740740739E-2</c:v>
                </c:pt>
                <c:pt idx="4">
                  <c:v>1.5740740740740739E-2</c:v>
                </c:pt>
                <c:pt idx="5">
                  <c:v>3.9814814814814817E-2</c:v>
                </c:pt>
                <c:pt idx="6">
                  <c:v>3.888888888888889E-2</c:v>
                </c:pt>
                <c:pt idx="7">
                  <c:v>2.9629629629629631E-2</c:v>
                </c:pt>
                <c:pt idx="8">
                  <c:v>6.5740740740740738E-2</c:v>
                </c:pt>
                <c:pt idx="9">
                  <c:v>0.17777777777777778</c:v>
                </c:pt>
                <c:pt idx="10">
                  <c:v>0.22592592592592592</c:v>
                </c:pt>
                <c:pt idx="11">
                  <c:v>0.13148148148148148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B-4B82-88F1-CE88E11DD911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(WisDOT)&gt;'!$D$7:$D$18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1.9E-2</c:v>
                </c:pt>
                <c:pt idx="2">
                  <c:v>1.2999999999999999E-2</c:v>
                </c:pt>
                <c:pt idx="3">
                  <c:v>1.6E-2</c:v>
                </c:pt>
                <c:pt idx="4">
                  <c:v>1.6E-2</c:v>
                </c:pt>
                <c:pt idx="5">
                  <c:v>0.04</c:v>
                </c:pt>
                <c:pt idx="6">
                  <c:v>3.9E-2</c:v>
                </c:pt>
                <c:pt idx="7">
                  <c:v>0.03</c:v>
                </c:pt>
                <c:pt idx="8">
                  <c:v>6.6000000000000003E-2</c:v>
                </c:pt>
                <c:pt idx="9">
                  <c:v>0.17799999999999999</c:v>
                </c:pt>
                <c:pt idx="10">
                  <c:v>0.22600000000000001</c:v>
                </c:pt>
                <c:pt idx="11">
                  <c:v>0.13200000000000001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8B-4B82-88F1-CE88E11D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404008"/>
        <c:axId val="207404400"/>
      </c:lineChart>
      <c:catAx>
        <c:axId val="20740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40952980877390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4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624999999999998"/>
          <c:y val="0.93904941882264714"/>
          <c:w val="0.56874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General Office Traffic</a:t>
            </a:r>
          </a:p>
        </c:rich>
      </c:tx>
      <c:layout>
        <c:manualLayout>
          <c:xMode val="edge"/>
          <c:yMode val="edge"/>
          <c:x val="0.354271620570041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7695609277764268"/>
        </c:manualLayout>
      </c:layout>
      <c:lineChart>
        <c:grouping val="standard"/>
        <c:varyColors val="0"/>
        <c:ser>
          <c:idx val="3"/>
          <c:order val="0"/>
          <c:tx>
            <c:strRef>
              <c:f>'&lt;710 - General Office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(WisDOT)&gt;'!$H$62:$H$73</c:f>
              <c:numCache>
                <c:formatCode>0.00%</c:formatCode>
                <c:ptCount val="12"/>
                <c:pt idx="0">
                  <c:v>0.13407407407407407</c:v>
                </c:pt>
                <c:pt idx="1">
                  <c:v>0.20148148148148148</c:v>
                </c:pt>
                <c:pt idx="2">
                  <c:v>0.1948148148148148</c:v>
                </c:pt>
                <c:pt idx="3">
                  <c:v>7.8518518518518515E-2</c:v>
                </c:pt>
                <c:pt idx="4">
                  <c:v>2.5925925925925925E-2</c:v>
                </c:pt>
                <c:pt idx="5">
                  <c:v>2.8148148148148148E-2</c:v>
                </c:pt>
                <c:pt idx="6">
                  <c:v>2.8888888888888888E-2</c:v>
                </c:pt>
                <c:pt idx="7">
                  <c:v>3.037037037037037E-2</c:v>
                </c:pt>
                <c:pt idx="8">
                  <c:v>0.02</c:v>
                </c:pt>
                <c:pt idx="9">
                  <c:v>2.2222222222222223E-2</c:v>
                </c:pt>
                <c:pt idx="10">
                  <c:v>1.6296296296296295E-2</c:v>
                </c:pt>
                <c:pt idx="11">
                  <c:v>1.4074074074074074E-2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4-47A6-A1A2-A487365368D7}"/>
            </c:ext>
          </c:extLst>
        </c:ser>
        <c:ser>
          <c:idx val="0"/>
          <c:order val="1"/>
          <c:tx>
            <c:strRef>
              <c:f>'&lt;710 - General Office (WisDOT)&gt;'!$F$19</c:f>
              <c:strCache>
                <c:ptCount val="1"/>
                <c:pt idx="0">
                  <c:v>WIS 241 / NML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(WisDOT)&gt;'!$H$7:$H$18</c:f>
              <c:numCache>
                <c:formatCode>0.00%</c:formatCode>
                <c:ptCount val="12"/>
                <c:pt idx="0">
                  <c:v>0.13407407407407407</c:v>
                </c:pt>
                <c:pt idx="1">
                  <c:v>0.20148148148148148</c:v>
                </c:pt>
                <c:pt idx="2">
                  <c:v>0.1948148148148148</c:v>
                </c:pt>
                <c:pt idx="3">
                  <c:v>7.8518518518518515E-2</c:v>
                </c:pt>
                <c:pt idx="4">
                  <c:v>2.5925925925925925E-2</c:v>
                </c:pt>
                <c:pt idx="5">
                  <c:v>2.8148148148148148E-2</c:v>
                </c:pt>
                <c:pt idx="6">
                  <c:v>2.8888888888888888E-2</c:v>
                </c:pt>
                <c:pt idx="7">
                  <c:v>3.037037037037037E-2</c:v>
                </c:pt>
                <c:pt idx="8">
                  <c:v>0.02</c:v>
                </c:pt>
                <c:pt idx="9">
                  <c:v>2.2222222222222223E-2</c:v>
                </c:pt>
                <c:pt idx="10">
                  <c:v>1.6296296296296295E-2</c:v>
                </c:pt>
                <c:pt idx="11">
                  <c:v>1.4074074074074074E-2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4-47A6-A1A2-A487365368D7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(WisDOT)&gt;'!$C$7:$C$18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0.20200000000000001</c:v>
                </c:pt>
                <c:pt idx="2">
                  <c:v>0.19500000000000001</c:v>
                </c:pt>
                <c:pt idx="3">
                  <c:v>7.9000000000000001E-2</c:v>
                </c:pt>
                <c:pt idx="4">
                  <c:v>2.5999999999999999E-2</c:v>
                </c:pt>
                <c:pt idx="5">
                  <c:v>2.8000000000000001E-2</c:v>
                </c:pt>
                <c:pt idx="6">
                  <c:v>2.9000000000000001E-2</c:v>
                </c:pt>
                <c:pt idx="7">
                  <c:v>0.03</c:v>
                </c:pt>
                <c:pt idx="8">
                  <c:v>0.02</c:v>
                </c:pt>
                <c:pt idx="9">
                  <c:v>2.1999999999999999E-2</c:v>
                </c:pt>
                <c:pt idx="10">
                  <c:v>1.6E-2</c:v>
                </c:pt>
                <c:pt idx="11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4-47A6-A1A2-A4873653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7176"/>
        <c:axId val="208217568"/>
      </c:lineChart>
      <c:catAx>
        <c:axId val="208217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1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2510352872557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7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02525752120181"/>
          <c:y val="0.93415832280224231"/>
          <c:w val="0.5716084358801885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Office Park Traffic</a:t>
            </a:r>
          </a:p>
        </c:rich>
      </c:tx>
      <c:layout>
        <c:manualLayout>
          <c:xMode val="edge"/>
          <c:yMode val="edge"/>
          <c:x val="0.36125000000000002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09535359998809"/>
        </c:manualLayout>
      </c:layout>
      <c:lineChart>
        <c:grouping val="standard"/>
        <c:varyColors val="0"/>
        <c:ser>
          <c:idx val="3"/>
          <c:order val="0"/>
          <c:tx>
            <c:strRef>
              <c:f>'750 - Office Park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(WisDOT)'!$J$78:$J$89</c:f>
              <c:numCache>
                <c:formatCode>0.00%</c:formatCode>
                <c:ptCount val="12"/>
                <c:pt idx="0">
                  <c:v>8.3054306669403926E-3</c:v>
                </c:pt>
                <c:pt idx="1">
                  <c:v>2.4207698458802013E-2</c:v>
                </c:pt>
                <c:pt idx="2">
                  <c:v>3.1950593685709343E-2</c:v>
                </c:pt>
                <c:pt idx="3">
                  <c:v>3.0631888010204528E-2</c:v>
                </c:pt>
                <c:pt idx="4">
                  <c:v>3.7168226540175195E-2</c:v>
                </c:pt>
                <c:pt idx="5">
                  <c:v>7.7192500583084883E-2</c:v>
                </c:pt>
                <c:pt idx="6">
                  <c:v>9.0137717598586256E-2</c:v>
                </c:pt>
                <c:pt idx="7">
                  <c:v>5.6343683529833335E-2</c:v>
                </c:pt>
                <c:pt idx="8">
                  <c:v>6.3402767635173149E-2</c:v>
                </c:pt>
                <c:pt idx="9">
                  <c:v>7.7228256382672167E-2</c:v>
                </c:pt>
                <c:pt idx="10">
                  <c:v>0.15442134484293785</c:v>
                </c:pt>
                <c:pt idx="11">
                  <c:v>0.15852905048099711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0-4156-9BA6-425B9645CAA0}"/>
            </c:ext>
          </c:extLst>
        </c:ser>
        <c:ser>
          <c:idx val="0"/>
          <c:order val="1"/>
          <c:tx>
            <c:strRef>
              <c:f>'750 - Office Park (WisDOT)'!$F$19</c:f>
              <c:strCache>
                <c:ptCount val="1"/>
                <c:pt idx="0">
                  <c:v>WIS 164 / Riverwood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(WisDOT)'!$J$7:$J$18</c:f>
              <c:numCache>
                <c:formatCode>0.00%</c:formatCode>
                <c:ptCount val="12"/>
                <c:pt idx="0">
                  <c:v>2.1250758955676987E-3</c:v>
                </c:pt>
                <c:pt idx="1">
                  <c:v>1.2143290831815421E-2</c:v>
                </c:pt>
                <c:pt idx="2">
                  <c:v>1.426836672738312E-2</c:v>
                </c:pt>
                <c:pt idx="3">
                  <c:v>2.5500910746812388E-2</c:v>
                </c:pt>
                <c:pt idx="4">
                  <c:v>3.4608378870673952E-2</c:v>
                </c:pt>
                <c:pt idx="5">
                  <c:v>6.6788099574984827E-2</c:v>
                </c:pt>
                <c:pt idx="6">
                  <c:v>7.7717061323618705E-2</c:v>
                </c:pt>
                <c:pt idx="7">
                  <c:v>4.1287188828172436E-2</c:v>
                </c:pt>
                <c:pt idx="8">
                  <c:v>4.0983606557377046E-2</c:v>
                </c:pt>
                <c:pt idx="9">
                  <c:v>9.3806921675774133E-2</c:v>
                </c:pt>
                <c:pt idx="10">
                  <c:v>0.18427443837279903</c:v>
                </c:pt>
                <c:pt idx="11">
                  <c:v>0.19247115968427445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0-4156-9BA6-425B9645CAA0}"/>
            </c:ext>
          </c:extLst>
        </c:ser>
        <c:ser>
          <c:idx val="1"/>
          <c:order val="2"/>
          <c:tx>
            <c:strRef>
              <c:f>'750 - Office Park (WisDOT)'!$F$37</c:f>
              <c:strCache>
                <c:ptCount val="1"/>
                <c:pt idx="0">
                  <c:v>County F / Paul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(WisDOT)'!$J$25:$J$36</c:f>
              <c:numCache>
                <c:formatCode>0.00%</c:formatCode>
                <c:ptCount val="12"/>
                <c:pt idx="0">
                  <c:v>2.0454545454545454E-2</c:v>
                </c:pt>
                <c:pt idx="1">
                  <c:v>3.3333333333333333E-2</c:v>
                </c:pt>
                <c:pt idx="2">
                  <c:v>5.7575757575757579E-2</c:v>
                </c:pt>
                <c:pt idx="3">
                  <c:v>2.803030303030303E-2</c:v>
                </c:pt>
                <c:pt idx="4">
                  <c:v>3.6363636363636362E-2</c:v>
                </c:pt>
                <c:pt idx="5">
                  <c:v>6.8939393939393939E-2</c:v>
                </c:pt>
                <c:pt idx="6">
                  <c:v>8.8636363636363638E-2</c:v>
                </c:pt>
                <c:pt idx="7">
                  <c:v>6.2878787878787881E-2</c:v>
                </c:pt>
                <c:pt idx="8">
                  <c:v>3.5606060606060606E-2</c:v>
                </c:pt>
                <c:pt idx="9">
                  <c:v>6.2878787878787881E-2</c:v>
                </c:pt>
                <c:pt idx="10">
                  <c:v>0.15378787878787878</c:v>
                </c:pt>
                <c:pt idx="11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B0-4156-9BA6-425B9645CAA0}"/>
            </c:ext>
          </c:extLst>
        </c:ser>
        <c:ser>
          <c:idx val="2"/>
          <c:order val="3"/>
          <c:tx>
            <c:strRef>
              <c:f>'750 - Office Park (WisDOT)'!$F$55</c:f>
              <c:strCache>
                <c:ptCount val="1"/>
                <c:pt idx="0">
                  <c:v>US 18 / Corporate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(WisDOT)'!$J$43:$J$54</c:f>
              <c:numCache>
                <c:formatCode>0.00%</c:formatCode>
                <c:ptCount val="12"/>
                <c:pt idx="0">
                  <c:v>7.6117982873453857E-3</c:v>
                </c:pt>
                <c:pt idx="1">
                  <c:v>3.2667300983190616E-2</c:v>
                </c:pt>
                <c:pt idx="2">
                  <c:v>3.1715826197272437E-2</c:v>
                </c:pt>
                <c:pt idx="3">
                  <c:v>3.8693307960672378E-2</c:v>
                </c:pt>
                <c:pt idx="4">
                  <c:v>5.0428163653663177E-2</c:v>
                </c:pt>
                <c:pt idx="5">
                  <c:v>9.3244529019980968E-2</c:v>
                </c:pt>
                <c:pt idx="6">
                  <c:v>0.10783380907072629</c:v>
                </c:pt>
                <c:pt idx="7">
                  <c:v>7.9289565493181099E-2</c:v>
                </c:pt>
                <c:pt idx="8">
                  <c:v>6.6920393276244841E-2</c:v>
                </c:pt>
                <c:pt idx="9">
                  <c:v>7.0409134157944808E-2</c:v>
                </c:pt>
                <c:pt idx="10">
                  <c:v>0.12305740564541706</c:v>
                </c:pt>
                <c:pt idx="11">
                  <c:v>0.12876625436092609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B0-4156-9BA6-425B9645CAA0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2.4E-2</c:v>
                </c:pt>
                <c:pt idx="2">
                  <c:v>3.2000000000000001E-2</c:v>
                </c:pt>
                <c:pt idx="3">
                  <c:v>3.1E-2</c:v>
                </c:pt>
                <c:pt idx="4">
                  <c:v>3.6999999999999998E-2</c:v>
                </c:pt>
                <c:pt idx="5">
                  <c:v>7.6999999999999999E-2</c:v>
                </c:pt>
                <c:pt idx="6">
                  <c:v>0.09</c:v>
                </c:pt>
                <c:pt idx="7">
                  <c:v>5.6000000000000001E-2</c:v>
                </c:pt>
                <c:pt idx="8">
                  <c:v>6.3E-2</c:v>
                </c:pt>
                <c:pt idx="9">
                  <c:v>7.6999999999999999E-2</c:v>
                </c:pt>
                <c:pt idx="10">
                  <c:v>0.154</c:v>
                </c:pt>
                <c:pt idx="11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B0-4156-9BA6-425B9645CAA0}"/>
            </c:ext>
          </c:extLst>
        </c:ser>
        <c:ser>
          <c:idx val="4"/>
          <c:order val="5"/>
          <c:tx>
            <c:strRef>
              <c:f>'750 - Office Park (WisDOT)'!$F$73</c:f>
              <c:strCache>
                <c:ptCount val="1"/>
                <c:pt idx="0">
                  <c:v>WIS 100 / Potter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(WisDOT)'!$J$61:$J$72</c:f>
              <c:numCache>
                <c:formatCode>0.00%</c:formatCode>
                <c:ptCount val="12"/>
                <c:pt idx="0">
                  <c:v>3.0303030303030303E-3</c:v>
                </c:pt>
                <c:pt idx="1">
                  <c:v>1.8686868686868686E-2</c:v>
                </c:pt>
                <c:pt idx="2">
                  <c:v>2.4242424242424242E-2</c:v>
                </c:pt>
                <c:pt idx="3">
                  <c:v>3.0303030303030304E-2</c:v>
                </c:pt>
                <c:pt idx="4">
                  <c:v>2.7272727272727271E-2</c:v>
                </c:pt>
                <c:pt idx="5">
                  <c:v>7.9797979797979798E-2</c:v>
                </c:pt>
                <c:pt idx="6">
                  <c:v>8.6363636363636365E-2</c:v>
                </c:pt>
                <c:pt idx="7">
                  <c:v>4.1919191919191919E-2</c:v>
                </c:pt>
                <c:pt idx="8">
                  <c:v>0.1101010101010101</c:v>
                </c:pt>
                <c:pt idx="9">
                  <c:v>8.1818181818181818E-2</c:v>
                </c:pt>
                <c:pt idx="10">
                  <c:v>0.15656565656565657</c:v>
                </c:pt>
                <c:pt idx="11">
                  <c:v>0.13787878787878788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B0-4156-9BA6-425B9645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8352"/>
        <c:axId val="208218744"/>
      </c:lineChart>
      <c:catAx>
        <c:axId val="20821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18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2857742782152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25000000000001"/>
          <c:y val="0.89714445694288203"/>
          <c:w val="0.68874999999999997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Office Park Traffic</a:t>
            </a:r>
          </a:p>
        </c:rich>
      </c:tx>
      <c:layout>
        <c:manualLayout>
          <c:xMode val="edge"/>
          <c:yMode val="edge"/>
          <c:x val="0.36934699745446392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59465140064662236"/>
        </c:manualLayout>
      </c:layout>
      <c:lineChart>
        <c:grouping val="standard"/>
        <c:varyColors val="0"/>
        <c:ser>
          <c:idx val="3"/>
          <c:order val="0"/>
          <c:tx>
            <c:strRef>
              <c:f>'750 - Office Park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(WisDOT)'!$H$78:$H$89</c:f>
              <c:numCache>
                <c:formatCode>0.00%</c:formatCode>
                <c:ptCount val="12"/>
                <c:pt idx="0">
                  <c:v>6.8760802669807899E-2</c:v>
                </c:pt>
                <c:pt idx="1">
                  <c:v>0.15572667703865292</c:v>
                </c:pt>
                <c:pt idx="2">
                  <c:v>0.12989417978809126</c:v>
                </c:pt>
                <c:pt idx="3">
                  <c:v>4.5731232524158894E-2</c:v>
                </c:pt>
                <c:pt idx="4">
                  <c:v>4.3619662778200965E-2</c:v>
                </c:pt>
                <c:pt idx="5">
                  <c:v>4.5803446797813577E-2</c:v>
                </c:pt>
                <c:pt idx="6">
                  <c:v>8.6977870966608417E-2</c:v>
                </c:pt>
                <c:pt idx="7">
                  <c:v>8.1322532734997344E-2</c:v>
                </c:pt>
                <c:pt idx="8">
                  <c:v>5.5442665438047045E-2</c:v>
                </c:pt>
                <c:pt idx="9">
                  <c:v>4.0946293883978392E-2</c:v>
                </c:pt>
                <c:pt idx="10">
                  <c:v>3.4917099726345817E-2</c:v>
                </c:pt>
                <c:pt idx="11">
                  <c:v>4.8158328596336508E-2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D-48CC-8791-3635C9D054C8}"/>
            </c:ext>
          </c:extLst>
        </c:ser>
        <c:ser>
          <c:idx val="0"/>
          <c:order val="1"/>
          <c:tx>
            <c:strRef>
              <c:f>'750 - Office Park (WisDOT)'!$F$19</c:f>
              <c:strCache>
                <c:ptCount val="1"/>
                <c:pt idx="0">
                  <c:v>WIS 164 / Riverwood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(WisDOT)'!$H$7:$H$18</c:f>
              <c:numCache>
                <c:formatCode>0.00%</c:formatCode>
                <c:ptCount val="12"/>
                <c:pt idx="0">
                  <c:v>9.1967751567632122E-2</c:v>
                </c:pt>
                <c:pt idx="1">
                  <c:v>0.20394147506718424</c:v>
                </c:pt>
                <c:pt idx="2">
                  <c:v>0.17736637802329053</c:v>
                </c:pt>
                <c:pt idx="3">
                  <c:v>3.6727381307853094E-2</c:v>
                </c:pt>
                <c:pt idx="4">
                  <c:v>3.5831591519856675E-2</c:v>
                </c:pt>
                <c:pt idx="5">
                  <c:v>3.2547028963869809E-2</c:v>
                </c:pt>
                <c:pt idx="6">
                  <c:v>8.0023887727679904E-2</c:v>
                </c:pt>
                <c:pt idx="7">
                  <c:v>7.2558972827709761E-2</c:v>
                </c:pt>
                <c:pt idx="8">
                  <c:v>4.0011943863839952E-2</c:v>
                </c:pt>
                <c:pt idx="9">
                  <c:v>2.7470886831890116E-2</c:v>
                </c:pt>
                <c:pt idx="10">
                  <c:v>2.7172290235891312E-2</c:v>
                </c:pt>
                <c:pt idx="11">
                  <c:v>3.2248432367871005E-2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D-48CC-8791-3635C9D054C8}"/>
            </c:ext>
          </c:extLst>
        </c:ser>
        <c:ser>
          <c:idx val="1"/>
          <c:order val="2"/>
          <c:tx>
            <c:strRef>
              <c:f>'750 - Office Park (WisDOT)'!$F$37</c:f>
              <c:strCache>
                <c:ptCount val="1"/>
                <c:pt idx="0">
                  <c:v>County F / Paul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(WisDOT)'!$H$25:$H$36</c:f>
              <c:numCache>
                <c:formatCode>0.00%</c:formatCode>
                <c:ptCount val="12"/>
                <c:pt idx="0">
                  <c:v>8.1250000000000003E-2</c:v>
                </c:pt>
                <c:pt idx="1">
                  <c:v>0.16250000000000001</c:v>
                </c:pt>
                <c:pt idx="2">
                  <c:v>9.6250000000000002E-2</c:v>
                </c:pt>
                <c:pt idx="3">
                  <c:v>4.3749999999999997E-2</c:v>
                </c:pt>
                <c:pt idx="4">
                  <c:v>4.1250000000000002E-2</c:v>
                </c:pt>
                <c:pt idx="5">
                  <c:v>3.3750000000000002E-2</c:v>
                </c:pt>
                <c:pt idx="6">
                  <c:v>8.0625000000000002E-2</c:v>
                </c:pt>
                <c:pt idx="7">
                  <c:v>7.5624999999999998E-2</c:v>
                </c:pt>
                <c:pt idx="8">
                  <c:v>6.9375000000000006E-2</c:v>
                </c:pt>
                <c:pt idx="9">
                  <c:v>4.4999999999999998E-2</c:v>
                </c:pt>
                <c:pt idx="10">
                  <c:v>4.3124999999999997E-2</c:v>
                </c:pt>
                <c:pt idx="11">
                  <c:v>5.6250000000000001E-2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6D-48CC-8791-3635C9D054C8}"/>
            </c:ext>
          </c:extLst>
        </c:ser>
        <c:ser>
          <c:idx val="2"/>
          <c:order val="3"/>
          <c:tx>
            <c:strRef>
              <c:f>'750 - Office Park (WisDOT)'!$F$55</c:f>
              <c:strCache>
                <c:ptCount val="1"/>
                <c:pt idx="0">
                  <c:v>US 18 / Corporate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(WisDOT)'!$H$43:$H$54</c:f>
              <c:numCache>
                <c:formatCode>0.00%</c:formatCode>
                <c:ptCount val="12"/>
                <c:pt idx="0">
                  <c:v>2.6173285198555957E-2</c:v>
                </c:pt>
                <c:pt idx="1">
                  <c:v>0.1055956678700361</c:v>
                </c:pt>
                <c:pt idx="2">
                  <c:v>0.11161251504211793</c:v>
                </c:pt>
                <c:pt idx="3">
                  <c:v>5.1143200962695548E-2</c:v>
                </c:pt>
                <c:pt idx="4">
                  <c:v>5.1744885679903728E-2</c:v>
                </c:pt>
                <c:pt idx="5">
                  <c:v>7.4308062575210596E-2</c:v>
                </c:pt>
                <c:pt idx="6">
                  <c:v>0.11552346570397112</c:v>
                </c:pt>
                <c:pt idx="7">
                  <c:v>9.5367027677496996E-2</c:v>
                </c:pt>
                <c:pt idx="8">
                  <c:v>4.5427196149217808E-2</c:v>
                </c:pt>
                <c:pt idx="9">
                  <c:v>4.3922984356197355E-2</c:v>
                </c:pt>
                <c:pt idx="10">
                  <c:v>5.0240673886883275E-2</c:v>
                </c:pt>
                <c:pt idx="11">
                  <c:v>8.5439229843561976E-2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6D-48CC-8791-3635C9D054C8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(WisDOT)'!$C$7:$C$18</c:f>
              <c:numCache>
                <c:formatCode>0.0%</c:formatCode>
                <c:ptCount val="12"/>
                <c:pt idx="0">
                  <c:v>6.9000000000000006E-2</c:v>
                </c:pt>
                <c:pt idx="1">
                  <c:v>0.156</c:v>
                </c:pt>
                <c:pt idx="2">
                  <c:v>0.13</c:v>
                </c:pt>
                <c:pt idx="3">
                  <c:v>4.5999999999999999E-2</c:v>
                </c:pt>
                <c:pt idx="4">
                  <c:v>4.3999999999999997E-2</c:v>
                </c:pt>
                <c:pt idx="5">
                  <c:v>4.5999999999999999E-2</c:v>
                </c:pt>
                <c:pt idx="6">
                  <c:v>8.6999999999999994E-2</c:v>
                </c:pt>
                <c:pt idx="7">
                  <c:v>8.1000000000000003E-2</c:v>
                </c:pt>
                <c:pt idx="8">
                  <c:v>5.5E-2</c:v>
                </c:pt>
                <c:pt idx="9">
                  <c:v>4.1000000000000002E-2</c:v>
                </c:pt>
                <c:pt idx="10">
                  <c:v>3.5000000000000003E-2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6D-48CC-8791-3635C9D054C8}"/>
            </c:ext>
          </c:extLst>
        </c:ser>
        <c:ser>
          <c:idx val="4"/>
          <c:order val="5"/>
          <c:tx>
            <c:strRef>
              <c:f>'750 - Office Park (WisDOT)'!$F$73</c:f>
              <c:strCache>
                <c:ptCount val="1"/>
                <c:pt idx="0">
                  <c:v>WIS 100 / Potter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(WisDOT)'!$H$61:$H$72</c:f>
              <c:numCache>
                <c:formatCode>0.00%</c:formatCode>
                <c:ptCount val="12"/>
                <c:pt idx="0">
                  <c:v>7.5652173913043477E-2</c:v>
                </c:pt>
                <c:pt idx="1">
                  <c:v>0.15086956521739131</c:v>
                </c:pt>
                <c:pt idx="2">
                  <c:v>0.13434782608695653</c:v>
                </c:pt>
                <c:pt idx="3">
                  <c:v>5.1304347826086956E-2</c:v>
                </c:pt>
                <c:pt idx="4">
                  <c:v>4.5652173913043478E-2</c:v>
                </c:pt>
                <c:pt idx="5">
                  <c:v>4.2608695652173914E-2</c:v>
                </c:pt>
                <c:pt idx="6">
                  <c:v>7.1739130434782611E-2</c:v>
                </c:pt>
                <c:pt idx="7">
                  <c:v>8.1739130434782606E-2</c:v>
                </c:pt>
                <c:pt idx="8">
                  <c:v>6.6956521739130428E-2</c:v>
                </c:pt>
                <c:pt idx="9">
                  <c:v>4.739130434782609E-2</c:v>
                </c:pt>
                <c:pt idx="10">
                  <c:v>1.9130434782608695E-2</c:v>
                </c:pt>
                <c:pt idx="11">
                  <c:v>1.8695652173913044E-2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6D-48CC-8791-3635C9D05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9528"/>
        <c:axId val="208219920"/>
      </c:lineChart>
      <c:catAx>
        <c:axId val="208219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1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3951265351090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9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72374998351336"/>
          <c:y val="0.88889061706792816"/>
          <c:w val="0.69221145095556524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Shopping Center Traffic</a:t>
            </a:r>
          </a:p>
        </c:rich>
      </c:tx>
      <c:layout>
        <c:manualLayout>
          <c:xMode val="edge"/>
          <c:yMode val="edge"/>
          <c:x val="0.328877293448366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0921658986175111"/>
        </c:manualLayout>
      </c:layout>
      <c:lineChart>
        <c:grouping val="standard"/>
        <c:varyColors val="0"/>
        <c:ser>
          <c:idx val="0"/>
          <c:order val="0"/>
          <c:tx>
            <c:strRef>
              <c:f>'820 - Shopping Center, AM (WisD'!$F$19</c:f>
              <c:strCache>
                <c:ptCount val="1"/>
                <c:pt idx="0">
                  <c:v>WIS 83 / Heritage Dr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(WisD'!$H$7:$H$18</c:f>
              <c:numCache>
                <c:formatCode>0.00%</c:formatCode>
                <c:ptCount val="12"/>
                <c:pt idx="0">
                  <c:v>9.8195935145010283E-3</c:v>
                </c:pt>
                <c:pt idx="1">
                  <c:v>1.918246174925782E-2</c:v>
                </c:pt>
                <c:pt idx="2">
                  <c:v>3.5624571820050237E-2</c:v>
                </c:pt>
                <c:pt idx="3">
                  <c:v>4.6357615894039736E-2</c:v>
                </c:pt>
                <c:pt idx="4">
                  <c:v>4.201872573646951E-2</c:v>
                </c:pt>
                <c:pt idx="5">
                  <c:v>7.5816396437542816E-2</c:v>
                </c:pt>
                <c:pt idx="6">
                  <c:v>6.6225165562913912E-2</c:v>
                </c:pt>
                <c:pt idx="7">
                  <c:v>6.8280429321762953E-2</c:v>
                </c:pt>
                <c:pt idx="8">
                  <c:v>6.0972824845855221E-2</c:v>
                </c:pt>
                <c:pt idx="9">
                  <c:v>6.5996802923041789E-2</c:v>
                </c:pt>
                <c:pt idx="10">
                  <c:v>7.3761132678693761E-2</c:v>
                </c:pt>
                <c:pt idx="11">
                  <c:v>6.7366978762274488E-2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4-4FAE-B9D5-347114931BC7}"/>
            </c:ext>
          </c:extLst>
        </c:ser>
        <c:ser>
          <c:idx val="1"/>
          <c:order val="1"/>
          <c:tx>
            <c:strRef>
              <c:f>'820 - Shopping Center, AM (WisD'!$F$37</c:f>
              <c:strCache>
                <c:ptCount val="1"/>
                <c:pt idx="0">
                  <c:v>WIS 57 / Deerwood Dr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(WisD'!$H$25:$H$36</c:f>
              <c:numCache>
                <c:formatCode>0.00%</c:formatCode>
                <c:ptCount val="12"/>
                <c:pt idx="0">
                  <c:v>2.604735883424408E-2</c:v>
                </c:pt>
                <c:pt idx="1">
                  <c:v>3.9344262295081971E-2</c:v>
                </c:pt>
                <c:pt idx="2">
                  <c:v>4.4626593806921674E-2</c:v>
                </c:pt>
                <c:pt idx="3">
                  <c:v>5.1183970856102004E-2</c:v>
                </c:pt>
                <c:pt idx="4">
                  <c:v>6.0655737704918035E-2</c:v>
                </c:pt>
                <c:pt idx="5">
                  <c:v>8.6156648451730419E-2</c:v>
                </c:pt>
                <c:pt idx="6">
                  <c:v>0.10418943533697632</c:v>
                </c:pt>
                <c:pt idx="7">
                  <c:v>7.5227686703096541E-2</c:v>
                </c:pt>
                <c:pt idx="8">
                  <c:v>6.5391621129326047E-2</c:v>
                </c:pt>
                <c:pt idx="9">
                  <c:v>5.0455373406193077E-2</c:v>
                </c:pt>
                <c:pt idx="10">
                  <c:v>7.5591985428050998E-2</c:v>
                </c:pt>
                <c:pt idx="11">
                  <c:v>8.306010928961749E-2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4-4FAE-B9D5-347114931BC7}"/>
            </c:ext>
          </c:extLst>
        </c:ser>
        <c:ser>
          <c:idx val="2"/>
          <c:order val="2"/>
          <c:tx>
            <c:strRef>
              <c:f>'820 - Shopping Center, AM (WisD'!$F$55</c:f>
              <c:strCache>
                <c:ptCount val="1"/>
                <c:pt idx="0">
                  <c:v>US 18 / Main St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(WisD'!$H$43:$H$54</c:f>
              <c:numCache>
                <c:formatCode>0.00%</c:formatCode>
                <c:ptCount val="12"/>
                <c:pt idx="0">
                  <c:v>7.874015748031496E-3</c:v>
                </c:pt>
                <c:pt idx="1">
                  <c:v>1.7405719021964361E-2</c:v>
                </c:pt>
                <c:pt idx="2">
                  <c:v>3.7297969332780768E-2</c:v>
                </c:pt>
                <c:pt idx="3">
                  <c:v>6.5893079154579356E-2</c:v>
                </c:pt>
                <c:pt idx="4">
                  <c:v>6.2577704102776632E-2</c:v>
                </c:pt>
                <c:pt idx="5">
                  <c:v>0.10319104848736013</c:v>
                </c:pt>
                <c:pt idx="6">
                  <c:v>0.11106506423539163</c:v>
                </c:pt>
                <c:pt idx="7">
                  <c:v>9.0758392043099878E-2</c:v>
                </c:pt>
                <c:pt idx="8">
                  <c:v>5.9262329050973894E-2</c:v>
                </c:pt>
                <c:pt idx="9">
                  <c:v>5.304600082884376E-2</c:v>
                </c:pt>
                <c:pt idx="10">
                  <c:v>7.9569001243265644E-2</c:v>
                </c:pt>
                <c:pt idx="11">
                  <c:v>0.10816411106506424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F4-4FAE-B9D5-347114931BC7}"/>
            </c:ext>
          </c:extLst>
        </c:ser>
        <c:ser>
          <c:idx val="5"/>
          <c:order val="3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(WisD'!$C$7:$C$18</c:f>
              <c:numCache>
                <c:formatCode>0.0%</c:formatCode>
                <c:ptCount val="12"/>
                <c:pt idx="0">
                  <c:v>1.4999999999999999E-2</c:v>
                </c:pt>
                <c:pt idx="1">
                  <c:v>2.5000000000000001E-2</c:v>
                </c:pt>
                <c:pt idx="2">
                  <c:v>3.9E-2</c:v>
                </c:pt>
                <c:pt idx="3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F4-4FAE-B9D5-347114931BC7}"/>
            </c:ext>
          </c:extLst>
        </c:ser>
        <c:ser>
          <c:idx val="3"/>
          <c:order val="4"/>
          <c:tx>
            <c:strRef>
              <c:f>'820 - Shopping Center, AM (WisD'!$G$96</c:f>
              <c:strCache>
                <c:ptCount val="1"/>
                <c:pt idx="0">
                  <c:v>ITE 820 - &lt;100,000 SF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(WisD'!$G$98:$G$109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7.5999999999999998E-2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6.9000000000000006E-2</c:v>
                </c:pt>
                <c:pt idx="8">
                  <c:v>0.09</c:v>
                </c:pt>
                <c:pt idx="9">
                  <c:v>9.6000000000000002E-2</c:v>
                </c:pt>
                <c:pt idx="10">
                  <c:v>9.7000000000000003E-2</c:v>
                </c:pt>
                <c:pt idx="11">
                  <c:v>0.10299999999999999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F4-4FAE-B9D5-347114931BC7}"/>
            </c:ext>
          </c:extLst>
        </c:ser>
        <c:ser>
          <c:idx val="4"/>
          <c:order val="5"/>
          <c:tx>
            <c:strRef>
              <c:f>'820 - Shopping Center, AM (WisD'!$I$96</c:f>
              <c:strCache>
                <c:ptCount val="1"/>
                <c:pt idx="0">
                  <c:v>ITE 820 - &gt;300,000 SF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val>
            <c:numRef>
              <c:f>'820 - Shopping Center, AM (WisD'!$I$98:$I$109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8.5999999999999993E-2</c:v>
                </c:pt>
                <c:pt idx="6">
                  <c:v>9.5000000000000001E-2</c:v>
                </c:pt>
                <c:pt idx="7">
                  <c:v>8.6999999999999994E-2</c:v>
                </c:pt>
                <c:pt idx="8">
                  <c:v>7.9000000000000001E-2</c:v>
                </c:pt>
                <c:pt idx="9">
                  <c:v>7.6999999999999999E-2</c:v>
                </c:pt>
                <c:pt idx="10">
                  <c:v>8.2000000000000003E-2</c:v>
                </c:pt>
                <c:pt idx="11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F4-4FAE-B9D5-34711493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0912"/>
        <c:axId val="209031304"/>
      </c:lineChart>
      <c:catAx>
        <c:axId val="2090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20253927586"/>
              <c:y val="0.79262672811059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1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1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22621155609E-2"/>
              <c:y val="0.23502304147465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0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73276067764257"/>
          <c:y val="0.87557603686635943"/>
          <c:w val="0.78877067400067813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Light Industrial Traffic</a:t>
            </a:r>
          </a:p>
        </c:rich>
      </c:tx>
      <c:layout>
        <c:manualLayout>
          <c:xMode val="edge"/>
          <c:yMode val="edge"/>
          <c:x val="0.3492464949419010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'110 - Light Industrial (WisDOT)'!$F$73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'110 - Light Industrial (WisDOT)'!$F$61:$F$72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'110 - Light Industrial (WisDOT)'!$H$61:$H$72</c:f>
              <c:numCache>
                <c:formatCode>0.0%</c:formatCode>
                <c:ptCount val="12"/>
                <c:pt idx="0">
                  <c:v>0.14517228062630372</c:v>
                </c:pt>
                <c:pt idx="1">
                  <c:v>0.10794560299144394</c:v>
                </c:pt>
                <c:pt idx="2">
                  <c:v>6.9353560316528229E-2</c:v>
                </c:pt>
                <c:pt idx="3">
                  <c:v>3.6834634671091465E-2</c:v>
                </c:pt>
                <c:pt idx="4">
                  <c:v>3.4697713031219636E-2</c:v>
                </c:pt>
                <c:pt idx="5">
                  <c:v>4.647840843086315E-2</c:v>
                </c:pt>
                <c:pt idx="6">
                  <c:v>7.0138590143372093E-2</c:v>
                </c:pt>
                <c:pt idx="7">
                  <c:v>5.4647520541043861E-2</c:v>
                </c:pt>
                <c:pt idx="8">
                  <c:v>6.6723148714141214E-2</c:v>
                </c:pt>
                <c:pt idx="9">
                  <c:v>6.2755939094139027E-2</c:v>
                </c:pt>
                <c:pt idx="10">
                  <c:v>3.6965304432018072E-2</c:v>
                </c:pt>
                <c:pt idx="11">
                  <c:v>2.7695035093247593E-2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F-47FB-AC4C-B7CE4C327B62}"/>
            </c:ext>
          </c:extLst>
        </c:ser>
        <c:ser>
          <c:idx val="0"/>
          <c:order val="1"/>
          <c:tx>
            <c:strRef>
              <c:f>'110 - Light Industrial (WisDOT)'!$F$19</c:f>
              <c:strCache>
                <c:ptCount val="1"/>
                <c:pt idx="0">
                  <c:v>WIS 31 / 95th 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(WisDOT)'!$H$7:$H$18</c:f>
              <c:numCache>
                <c:formatCode>0.00%</c:formatCode>
                <c:ptCount val="12"/>
                <c:pt idx="0">
                  <c:v>0.15438893593000283</c:v>
                </c:pt>
                <c:pt idx="1">
                  <c:v>0.13011572114027661</c:v>
                </c:pt>
                <c:pt idx="2">
                  <c:v>4.9393169630256847E-2</c:v>
                </c:pt>
                <c:pt idx="3">
                  <c:v>2.6531188258537963E-2</c:v>
                </c:pt>
                <c:pt idx="4">
                  <c:v>3.0482641828958511E-2</c:v>
                </c:pt>
                <c:pt idx="5">
                  <c:v>3.556308213378493E-2</c:v>
                </c:pt>
                <c:pt idx="6">
                  <c:v>6.6610217329946375E-2</c:v>
                </c:pt>
                <c:pt idx="7">
                  <c:v>6.1247530341518489E-2</c:v>
                </c:pt>
                <c:pt idx="8">
                  <c:v>6.6610217329946375E-2</c:v>
                </c:pt>
                <c:pt idx="9">
                  <c:v>4.9393169630256847E-2</c:v>
                </c:pt>
                <c:pt idx="10">
                  <c:v>4.5441716059836296E-2</c:v>
                </c:pt>
                <c:pt idx="11">
                  <c:v>3.1047135196161445E-2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F-47FB-AC4C-B7CE4C327B62}"/>
            </c:ext>
          </c:extLst>
        </c:ser>
        <c:ser>
          <c:idx val="1"/>
          <c:order val="2"/>
          <c:tx>
            <c:strRef>
              <c:f>'110 - Light Industrial (WisDOT)'!$F$37</c:f>
              <c:strCache>
                <c:ptCount val="1"/>
                <c:pt idx="0">
                  <c:v>WIS 158 / 95th Ave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(WisDOT)'!$H$25:$H$36</c:f>
              <c:numCache>
                <c:formatCode>0.00%</c:formatCode>
                <c:ptCount val="12"/>
                <c:pt idx="0">
                  <c:v>0.18518518518518517</c:v>
                </c:pt>
                <c:pt idx="1">
                  <c:v>0.10493827160493827</c:v>
                </c:pt>
                <c:pt idx="2">
                  <c:v>6.893004115226338E-2</c:v>
                </c:pt>
                <c:pt idx="3">
                  <c:v>5.2469135802469133E-2</c:v>
                </c:pt>
                <c:pt idx="4">
                  <c:v>4.1152263374485597E-2</c:v>
                </c:pt>
                <c:pt idx="5">
                  <c:v>5.0411522633744855E-2</c:v>
                </c:pt>
                <c:pt idx="6">
                  <c:v>8.1275720164609058E-2</c:v>
                </c:pt>
                <c:pt idx="7">
                  <c:v>4.7325102880658436E-2</c:v>
                </c:pt>
                <c:pt idx="8">
                  <c:v>7.8189300411522639E-2</c:v>
                </c:pt>
                <c:pt idx="9">
                  <c:v>6.584362139917696E-2</c:v>
                </c:pt>
                <c:pt idx="10">
                  <c:v>3.3950617283950615E-2</c:v>
                </c:pt>
                <c:pt idx="11">
                  <c:v>1.3374485596707819E-2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3F-47FB-AC4C-B7CE4C327B62}"/>
            </c:ext>
          </c:extLst>
        </c:ser>
        <c:ser>
          <c:idx val="2"/>
          <c:order val="3"/>
          <c:tx>
            <c:strRef>
              <c:f>'110 - Light Industrial (WisDOT)'!$F$55</c:f>
              <c:strCache>
                <c:ptCount val="1"/>
                <c:pt idx="0">
                  <c:v>WIS 158 / 68th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(WisDOT)'!$H$43:$H$54</c:f>
              <c:numCache>
                <c:formatCode>0.00%</c:formatCode>
                <c:ptCount val="12"/>
                <c:pt idx="0">
                  <c:v>9.5942720763723149E-2</c:v>
                </c:pt>
                <c:pt idx="1">
                  <c:v>8.8782816229116948E-2</c:v>
                </c:pt>
                <c:pt idx="2">
                  <c:v>8.9737470167064445E-2</c:v>
                </c:pt>
                <c:pt idx="3">
                  <c:v>3.1503579952267304E-2</c:v>
                </c:pt>
                <c:pt idx="4">
                  <c:v>3.2458233890214794E-2</c:v>
                </c:pt>
                <c:pt idx="5">
                  <c:v>5.3460620525059663E-2</c:v>
                </c:pt>
                <c:pt idx="6">
                  <c:v>6.2529832935560858E-2</c:v>
                </c:pt>
                <c:pt idx="7">
                  <c:v>5.5369928400954657E-2</c:v>
                </c:pt>
                <c:pt idx="8">
                  <c:v>5.5369928400954657E-2</c:v>
                </c:pt>
                <c:pt idx="9">
                  <c:v>7.30310262529833E-2</c:v>
                </c:pt>
                <c:pt idx="10">
                  <c:v>3.1503579952267304E-2</c:v>
                </c:pt>
                <c:pt idx="11">
                  <c:v>3.8663484486873512E-2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3F-47FB-AC4C-B7CE4C327B62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'110 - Light Industrial (WisDOT)'!$C$7:$C$18</c:f>
              <c:numCache>
                <c:formatCode>0.0%</c:formatCode>
                <c:ptCount val="12"/>
                <c:pt idx="0">
                  <c:v>0.14499999999999999</c:v>
                </c:pt>
                <c:pt idx="1">
                  <c:v>0.108</c:v>
                </c:pt>
                <c:pt idx="2">
                  <c:v>6.9000000000000006E-2</c:v>
                </c:pt>
                <c:pt idx="3">
                  <c:v>3.6999999999999998E-2</c:v>
                </c:pt>
                <c:pt idx="4">
                  <c:v>3.5000000000000003E-2</c:v>
                </c:pt>
                <c:pt idx="5">
                  <c:v>4.7E-2</c:v>
                </c:pt>
                <c:pt idx="6">
                  <c:v>7.0000000000000007E-2</c:v>
                </c:pt>
                <c:pt idx="7">
                  <c:v>5.5E-2</c:v>
                </c:pt>
                <c:pt idx="8">
                  <c:v>6.7000000000000004E-2</c:v>
                </c:pt>
                <c:pt idx="9">
                  <c:v>6.3E-2</c:v>
                </c:pt>
                <c:pt idx="10">
                  <c:v>3.6999999999999998E-2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3F-47FB-AC4C-B7CE4C32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2120"/>
        <c:axId val="178647016"/>
      </c:lineChart>
      <c:catAx>
        <c:axId val="10907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7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47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72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50251256281407E-2"/>
          <c:y val="0.93415832280224231"/>
          <c:w val="0.97990015695274268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Shopping Center Traffic</a:t>
            </a:r>
          </a:p>
        </c:rich>
      </c:tx>
      <c:layout>
        <c:manualLayout>
          <c:xMode val="edge"/>
          <c:yMode val="edge"/>
          <c:x val="0.3208557183940524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0921658986175111"/>
        </c:manualLayout>
      </c:layout>
      <c:lineChart>
        <c:grouping val="standard"/>
        <c:varyColors val="0"/>
        <c:ser>
          <c:idx val="0"/>
          <c:order val="0"/>
          <c:tx>
            <c:strRef>
              <c:f>'820 - Shopping Center, AM (WisD'!$F$19</c:f>
              <c:strCache>
                <c:ptCount val="1"/>
                <c:pt idx="0">
                  <c:v>WIS 83 / Heritage Dr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(WisD'!$J$7:$J$18</c:f>
              <c:numCache>
                <c:formatCode>0.00%</c:formatCode>
                <c:ptCount val="12"/>
                <c:pt idx="0">
                  <c:v>5.6384742951907131E-3</c:v>
                </c:pt>
                <c:pt idx="1">
                  <c:v>1.9237147595356552E-2</c:v>
                </c:pt>
                <c:pt idx="2">
                  <c:v>2.5538971807628524E-2</c:v>
                </c:pt>
                <c:pt idx="3">
                  <c:v>4.4112769485903813E-2</c:v>
                </c:pt>
                <c:pt idx="4">
                  <c:v>3.7147595356550579E-2</c:v>
                </c:pt>
                <c:pt idx="5">
                  <c:v>6.3018242122719739E-2</c:v>
                </c:pt>
                <c:pt idx="6">
                  <c:v>9.2868988391376445E-2</c:v>
                </c:pt>
                <c:pt idx="7">
                  <c:v>7.0646766169154232E-2</c:v>
                </c:pt>
                <c:pt idx="8">
                  <c:v>6.8325041459369823E-2</c:v>
                </c:pt>
                <c:pt idx="9">
                  <c:v>7.4295190713101159E-2</c:v>
                </c:pt>
                <c:pt idx="10">
                  <c:v>7.6616915422885568E-2</c:v>
                </c:pt>
                <c:pt idx="11">
                  <c:v>5.4063018242122722E-2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9-45A2-A625-9FAFE00F3B5C}"/>
            </c:ext>
          </c:extLst>
        </c:ser>
        <c:ser>
          <c:idx val="1"/>
          <c:order val="1"/>
          <c:tx>
            <c:strRef>
              <c:f>'820 - Shopping Center, AM (WisD'!$F$37</c:f>
              <c:strCache>
                <c:ptCount val="1"/>
                <c:pt idx="0">
                  <c:v>WIS 57 / Deerwood Dr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(WisD'!$J$25:$J$36</c:f>
              <c:numCache>
                <c:formatCode>0.00%</c:formatCode>
                <c:ptCount val="12"/>
                <c:pt idx="0">
                  <c:v>1.6320143080706461E-2</c:v>
                </c:pt>
                <c:pt idx="1">
                  <c:v>4.0241448692152917E-2</c:v>
                </c:pt>
                <c:pt idx="2">
                  <c:v>3.1298904538341159E-2</c:v>
                </c:pt>
                <c:pt idx="3">
                  <c:v>3.5099485803711153E-2</c:v>
                </c:pt>
                <c:pt idx="4">
                  <c:v>5.2761010507489381E-2</c:v>
                </c:pt>
                <c:pt idx="5">
                  <c:v>8.6295551084283481E-2</c:v>
                </c:pt>
                <c:pt idx="6">
                  <c:v>9.5908786049631115E-2</c:v>
                </c:pt>
                <c:pt idx="7">
                  <c:v>8.4507042253521125E-2</c:v>
                </c:pt>
                <c:pt idx="8">
                  <c:v>7.2881734853565833E-2</c:v>
                </c:pt>
                <c:pt idx="9">
                  <c:v>8.2942097026604072E-2</c:v>
                </c:pt>
                <c:pt idx="10">
                  <c:v>7.9365079365079361E-2</c:v>
                </c:pt>
                <c:pt idx="11">
                  <c:v>8.4283478649675836E-2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9-45A2-A625-9FAFE00F3B5C}"/>
            </c:ext>
          </c:extLst>
        </c:ser>
        <c:ser>
          <c:idx val="2"/>
          <c:order val="2"/>
          <c:tx>
            <c:strRef>
              <c:f>'820 - Shopping Center, AM (WisD'!$F$55</c:f>
              <c:strCache>
                <c:ptCount val="1"/>
                <c:pt idx="0">
                  <c:v>US 18 / Main St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(WisD'!$J$43:$J$54</c:f>
              <c:numCache>
                <c:formatCode>0.00%</c:formatCode>
                <c:ptCount val="12"/>
                <c:pt idx="0">
                  <c:v>6.4460678985818649E-3</c:v>
                </c:pt>
                <c:pt idx="1">
                  <c:v>1.1602922217447357E-2</c:v>
                </c:pt>
                <c:pt idx="2">
                  <c:v>1.633003867640739E-2</c:v>
                </c:pt>
                <c:pt idx="3">
                  <c:v>3.0941125913192952E-2</c:v>
                </c:pt>
                <c:pt idx="4">
                  <c:v>6.4890416845724108E-2</c:v>
                </c:pt>
                <c:pt idx="5">
                  <c:v>7.3914911903738723E-2</c:v>
                </c:pt>
                <c:pt idx="6">
                  <c:v>0.11431027073485174</c:v>
                </c:pt>
                <c:pt idx="7">
                  <c:v>0.10786420283626988</c:v>
                </c:pt>
                <c:pt idx="8">
                  <c:v>8.9385474860335198E-2</c:v>
                </c:pt>
                <c:pt idx="9">
                  <c:v>7.00472711645896E-2</c:v>
                </c:pt>
                <c:pt idx="10">
                  <c:v>9.2393639879673403E-2</c:v>
                </c:pt>
                <c:pt idx="11">
                  <c:v>0.11817791147400086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59-45A2-A625-9FAFE00F3B5C}"/>
            </c:ext>
          </c:extLst>
        </c:ser>
        <c:ser>
          <c:idx val="5"/>
          <c:order val="3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(WisD'!$D$7:$D$18</c:f>
              <c:numCache>
                <c:formatCode>0.0%</c:formatCode>
                <c:ptCount val="12"/>
                <c:pt idx="0">
                  <c:v>0.01</c:v>
                </c:pt>
                <c:pt idx="1">
                  <c:v>2.4E-2</c:v>
                </c:pt>
                <c:pt idx="2">
                  <c:v>2.4E-2</c:v>
                </c:pt>
                <c:pt idx="3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59-45A2-A625-9FAFE00F3B5C}"/>
            </c:ext>
          </c:extLst>
        </c:ser>
        <c:ser>
          <c:idx val="3"/>
          <c:order val="4"/>
          <c:tx>
            <c:strRef>
              <c:f>'820 - Shopping Center, AM (WisD'!$G$96</c:f>
              <c:strCache>
                <c:ptCount val="1"/>
                <c:pt idx="0">
                  <c:v>ITE 820 - &lt;100,000 SF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(WisD'!$H$98:$H$109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6.5000000000000002E-2</c:v>
                </c:pt>
                <c:pt idx="5">
                  <c:v>8.4000000000000005E-2</c:v>
                </c:pt>
                <c:pt idx="6">
                  <c:v>8.2000000000000003E-2</c:v>
                </c:pt>
                <c:pt idx="7">
                  <c:v>7.4999999999999997E-2</c:v>
                </c:pt>
                <c:pt idx="8">
                  <c:v>7.8E-2</c:v>
                </c:pt>
                <c:pt idx="9">
                  <c:v>9.5000000000000001E-2</c:v>
                </c:pt>
                <c:pt idx="10">
                  <c:v>0.104</c:v>
                </c:pt>
                <c:pt idx="1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59-45A2-A625-9FAFE00F3B5C}"/>
            </c:ext>
          </c:extLst>
        </c:ser>
        <c:ser>
          <c:idx val="4"/>
          <c:order val="5"/>
          <c:tx>
            <c:strRef>
              <c:f>'820 - Shopping Center, AM (WisD'!$I$96</c:f>
              <c:strCache>
                <c:ptCount val="1"/>
                <c:pt idx="0">
                  <c:v>ITE 820 - &gt;300,000 SF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val>
            <c:numRef>
              <c:f>'820 - Shopping Center, AM (WisD'!$J$98:$J$109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3.6999999999999998E-2</c:v>
                </c:pt>
                <c:pt idx="5">
                  <c:v>5.8999999999999997E-2</c:v>
                </c:pt>
                <c:pt idx="6">
                  <c:v>7.9000000000000001E-2</c:v>
                </c:pt>
                <c:pt idx="7">
                  <c:v>8.2000000000000003E-2</c:v>
                </c:pt>
                <c:pt idx="8">
                  <c:v>8.7999999999999995E-2</c:v>
                </c:pt>
                <c:pt idx="9">
                  <c:v>8.8999999999999996E-2</c:v>
                </c:pt>
                <c:pt idx="10">
                  <c:v>9.0999999999999998E-2</c:v>
                </c:pt>
                <c:pt idx="11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59-45A2-A625-9FAFE00F3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088"/>
        <c:axId val="209032480"/>
      </c:lineChart>
      <c:catAx>
        <c:axId val="20903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20253927586"/>
              <c:y val="0.79262672811059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22621155609E-2"/>
              <c:y val="0.23502304147465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2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73276067764257"/>
          <c:y val="0.87557603686635943"/>
          <c:w val="0.78877067400067813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Car Dealership Traffic</a:t>
            </a:r>
          </a:p>
        </c:rich>
      </c:tx>
      <c:layout>
        <c:manualLayout>
          <c:xMode val="edge"/>
          <c:yMode val="edge"/>
          <c:x val="0.3425000000000000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9714415391397677"/>
        </c:manualLayout>
      </c:layout>
      <c:lineChart>
        <c:grouping val="standard"/>
        <c:varyColors val="0"/>
        <c:ser>
          <c:idx val="3"/>
          <c:order val="0"/>
          <c:tx>
            <c:strRef>
              <c:f>'&lt;841 - Car Dealership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(WisDOT)&gt;'!$J$62:$J$73</c:f>
              <c:numCache>
                <c:formatCode>0.00%</c:formatCode>
                <c:ptCount val="12"/>
                <c:pt idx="0">
                  <c:v>7.6335877862595417E-3</c:v>
                </c:pt>
                <c:pt idx="1">
                  <c:v>3.8167938931297708E-3</c:v>
                </c:pt>
                <c:pt idx="2">
                  <c:v>5.1526717557251911E-2</c:v>
                </c:pt>
                <c:pt idx="3">
                  <c:v>6.8702290076335881E-2</c:v>
                </c:pt>
                <c:pt idx="4">
                  <c:v>7.2519083969465645E-2</c:v>
                </c:pt>
                <c:pt idx="5">
                  <c:v>6.8702290076335881E-2</c:v>
                </c:pt>
                <c:pt idx="6">
                  <c:v>8.2061068702290074E-2</c:v>
                </c:pt>
                <c:pt idx="7">
                  <c:v>4.9618320610687022E-2</c:v>
                </c:pt>
                <c:pt idx="8">
                  <c:v>7.2519083969465645E-2</c:v>
                </c:pt>
                <c:pt idx="9">
                  <c:v>0.10305343511450382</c:v>
                </c:pt>
                <c:pt idx="10">
                  <c:v>8.3969465648854963E-2</c:v>
                </c:pt>
                <c:pt idx="11">
                  <c:v>0.10877862595419847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B-4EF6-AF21-F3C93085C515}"/>
            </c:ext>
          </c:extLst>
        </c:ser>
        <c:ser>
          <c:idx val="0"/>
          <c:order val="1"/>
          <c:tx>
            <c:strRef>
              <c:f>'&lt;841 - Car Dealership (WisDOT)&gt;'!$F$19</c:f>
              <c:strCache>
                <c:ptCount val="1"/>
                <c:pt idx="0">
                  <c:v>WIS 100 / Whitnall Edge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(WisDOT)&gt;'!$J$7:$J$18</c:f>
              <c:numCache>
                <c:formatCode>0.00%</c:formatCode>
                <c:ptCount val="12"/>
                <c:pt idx="0">
                  <c:v>7.6335877862595417E-3</c:v>
                </c:pt>
                <c:pt idx="1">
                  <c:v>3.8167938931297708E-3</c:v>
                </c:pt>
                <c:pt idx="2">
                  <c:v>5.1526717557251911E-2</c:v>
                </c:pt>
                <c:pt idx="3">
                  <c:v>6.8702290076335881E-2</c:v>
                </c:pt>
                <c:pt idx="4">
                  <c:v>7.2519083969465645E-2</c:v>
                </c:pt>
                <c:pt idx="5">
                  <c:v>6.8702290076335881E-2</c:v>
                </c:pt>
                <c:pt idx="6">
                  <c:v>8.2061068702290074E-2</c:v>
                </c:pt>
                <c:pt idx="7">
                  <c:v>4.9618320610687022E-2</c:v>
                </c:pt>
                <c:pt idx="8">
                  <c:v>7.2519083969465645E-2</c:v>
                </c:pt>
                <c:pt idx="9">
                  <c:v>0.10305343511450382</c:v>
                </c:pt>
                <c:pt idx="10">
                  <c:v>8.3969465648854963E-2</c:v>
                </c:pt>
                <c:pt idx="11">
                  <c:v>0.10877862595419847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B-4EF6-AF21-F3C93085C515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4.0000000000000001E-3</c:v>
                </c:pt>
                <c:pt idx="2">
                  <c:v>5.1999999999999998E-2</c:v>
                </c:pt>
                <c:pt idx="3">
                  <c:v>6.9000000000000006E-2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8.2000000000000003E-2</c:v>
                </c:pt>
                <c:pt idx="7">
                  <c:v>0.05</c:v>
                </c:pt>
                <c:pt idx="8">
                  <c:v>7.2999999999999995E-2</c:v>
                </c:pt>
                <c:pt idx="9">
                  <c:v>0.10299999999999999</c:v>
                </c:pt>
                <c:pt idx="10">
                  <c:v>8.4000000000000005E-2</c:v>
                </c:pt>
                <c:pt idx="11">
                  <c:v>0.109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B-4EF6-AF21-F3C93085C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3264"/>
        <c:axId val="209033656"/>
      </c:lineChart>
      <c:catAx>
        <c:axId val="20903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3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3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40952980877390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4999999999999"/>
          <c:y val="0.93904941882264714"/>
          <c:w val="0.60499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Car Dealership Traffic</a:t>
            </a:r>
          </a:p>
        </c:rich>
      </c:tx>
      <c:layout>
        <c:manualLayout>
          <c:xMode val="edge"/>
          <c:yMode val="edge"/>
          <c:x val="0.3505027763489362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452316791671247E-2"/>
          <c:y val="0.15432129774566322"/>
          <c:w val="0.89196034614009145"/>
          <c:h val="0.67695609277764268"/>
        </c:manualLayout>
      </c:layout>
      <c:lineChart>
        <c:grouping val="standard"/>
        <c:varyColors val="0"/>
        <c:ser>
          <c:idx val="3"/>
          <c:order val="0"/>
          <c:tx>
            <c:strRef>
              <c:f>'&lt;841 - Car Dealership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(WisDOT)&gt;'!$H$62:$H$73</c:f>
              <c:numCache>
                <c:formatCode>0.00%</c:formatCode>
                <c:ptCount val="12"/>
                <c:pt idx="0">
                  <c:v>3.7037037037037035E-2</c:v>
                </c:pt>
                <c:pt idx="1">
                  <c:v>5.5555555555555552E-2</c:v>
                </c:pt>
                <c:pt idx="2">
                  <c:v>6.4814814814814811E-2</c:v>
                </c:pt>
                <c:pt idx="3">
                  <c:v>6.7901234567901231E-2</c:v>
                </c:pt>
                <c:pt idx="4">
                  <c:v>6.6358024691358028E-2</c:v>
                </c:pt>
                <c:pt idx="5">
                  <c:v>6.3271604938271608E-2</c:v>
                </c:pt>
                <c:pt idx="6">
                  <c:v>8.3333333333333329E-2</c:v>
                </c:pt>
                <c:pt idx="7">
                  <c:v>7.407407407407407E-2</c:v>
                </c:pt>
                <c:pt idx="8">
                  <c:v>6.9444444444444448E-2</c:v>
                </c:pt>
                <c:pt idx="9">
                  <c:v>7.407407407407407E-2</c:v>
                </c:pt>
                <c:pt idx="10">
                  <c:v>8.3333333333333329E-2</c:v>
                </c:pt>
                <c:pt idx="11">
                  <c:v>3.3950617283950615E-2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6-499B-9899-807659B1FFDA}"/>
            </c:ext>
          </c:extLst>
        </c:ser>
        <c:ser>
          <c:idx val="0"/>
          <c:order val="1"/>
          <c:tx>
            <c:strRef>
              <c:f>'&lt;841 - Car Dealership (WisDOT)&gt;'!$F$19</c:f>
              <c:strCache>
                <c:ptCount val="1"/>
                <c:pt idx="0">
                  <c:v>WIS 100 / Whitnall Edge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(WisDOT)&gt;'!$H$7:$H$18</c:f>
              <c:numCache>
                <c:formatCode>0.00%</c:formatCode>
                <c:ptCount val="12"/>
                <c:pt idx="0">
                  <c:v>3.7037037037037035E-2</c:v>
                </c:pt>
                <c:pt idx="1">
                  <c:v>5.5555555555555552E-2</c:v>
                </c:pt>
                <c:pt idx="2">
                  <c:v>6.4814814814814811E-2</c:v>
                </c:pt>
                <c:pt idx="3">
                  <c:v>6.7901234567901231E-2</c:v>
                </c:pt>
                <c:pt idx="4">
                  <c:v>6.6358024691358028E-2</c:v>
                </c:pt>
                <c:pt idx="5">
                  <c:v>6.3271604938271608E-2</c:v>
                </c:pt>
                <c:pt idx="6">
                  <c:v>8.3333333333333329E-2</c:v>
                </c:pt>
                <c:pt idx="7">
                  <c:v>7.407407407407407E-2</c:v>
                </c:pt>
                <c:pt idx="8">
                  <c:v>6.9444444444444448E-2</c:v>
                </c:pt>
                <c:pt idx="9">
                  <c:v>7.407407407407407E-2</c:v>
                </c:pt>
                <c:pt idx="10">
                  <c:v>8.3333333333333329E-2</c:v>
                </c:pt>
                <c:pt idx="11">
                  <c:v>3.3950617283950615E-2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6-499B-9899-807659B1FFDA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(WisDOT)&gt;'!$C$7:$C$18</c:f>
              <c:numCache>
                <c:formatCode>0.0%</c:formatCode>
                <c:ptCount val="12"/>
                <c:pt idx="0">
                  <c:v>3.6999999999999998E-2</c:v>
                </c:pt>
                <c:pt idx="1">
                  <c:v>5.6000000000000001E-2</c:v>
                </c:pt>
                <c:pt idx="2">
                  <c:v>6.5000000000000002E-2</c:v>
                </c:pt>
                <c:pt idx="3">
                  <c:v>6.8000000000000005E-2</c:v>
                </c:pt>
                <c:pt idx="4">
                  <c:v>6.6000000000000003E-2</c:v>
                </c:pt>
                <c:pt idx="5">
                  <c:v>6.3E-2</c:v>
                </c:pt>
                <c:pt idx="6">
                  <c:v>8.3000000000000004E-2</c:v>
                </c:pt>
                <c:pt idx="7">
                  <c:v>7.3999999999999996E-2</c:v>
                </c:pt>
                <c:pt idx="8">
                  <c:v>6.9000000000000006E-2</c:v>
                </c:pt>
                <c:pt idx="9">
                  <c:v>7.3999999999999996E-2</c:v>
                </c:pt>
                <c:pt idx="10">
                  <c:v>8.3000000000000004E-2</c:v>
                </c:pt>
                <c:pt idx="11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6-499B-9899-807659B1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4440"/>
        <c:axId val="209276632"/>
      </c:lineChart>
      <c:catAx>
        <c:axId val="209034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366860549466489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6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2510352872557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4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41219219456863"/>
          <c:y val="0.93415832280224231"/>
          <c:w val="0.60804059668420851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Grocery Store Daily Distribution</a:t>
            </a:r>
          </a:p>
        </c:rich>
      </c:tx>
      <c:layout>
        <c:manualLayout>
          <c:xMode val="edge"/>
          <c:yMode val="edge"/>
          <c:x val="0.28744037430103847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4334272942787"/>
          <c:y val="0.19081305007220709"/>
          <c:w val="0.81884251123403351"/>
          <c:h val="0.6360435002406903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'850 - Supermarket (WisDOT)'!$B$8:$B$19</c:f>
              <c:strCache>
                <c:ptCount val="12"/>
                <c:pt idx="0">
                  <c:v>7-8 am</c:v>
                </c:pt>
                <c:pt idx="1">
                  <c:v>8-9 am</c:v>
                </c:pt>
                <c:pt idx="2">
                  <c:v>9-10 am </c:v>
                </c:pt>
                <c:pt idx="3">
                  <c:v>10-11 am</c:v>
                </c:pt>
                <c:pt idx="4">
                  <c:v>11am-12pm</c:v>
                </c:pt>
                <c:pt idx="5">
                  <c:v>12-1 pm</c:v>
                </c:pt>
                <c:pt idx="6">
                  <c:v>1-2 pm </c:v>
                </c:pt>
                <c:pt idx="7">
                  <c:v>2-3 pm</c:v>
                </c:pt>
                <c:pt idx="8">
                  <c:v>3-4 pm</c:v>
                </c:pt>
                <c:pt idx="9">
                  <c:v>4-5 pm</c:v>
                </c:pt>
                <c:pt idx="10">
                  <c:v>5-6 pm</c:v>
                </c:pt>
                <c:pt idx="11">
                  <c:v>6-7 pm</c:v>
                </c:pt>
              </c:strCache>
            </c:strRef>
          </c:cat>
          <c:val>
            <c:numRef>
              <c:f>'850 - Supermarket (WisDOT)'!$E$8:$E$19</c:f>
              <c:numCache>
                <c:formatCode>0.0%</c:formatCode>
                <c:ptCount val="12"/>
                <c:pt idx="0">
                  <c:v>3.0884399999999999E-2</c:v>
                </c:pt>
                <c:pt idx="1">
                  <c:v>4.4909199999999996E-2</c:v>
                </c:pt>
                <c:pt idx="2">
                  <c:v>7.1243000000000001E-2</c:v>
                </c:pt>
                <c:pt idx="3">
                  <c:v>8.44472E-2</c:v>
                </c:pt>
                <c:pt idx="4">
                  <c:v>0.10511139999999999</c:v>
                </c:pt>
                <c:pt idx="5">
                  <c:v>0.12428359999999999</c:v>
                </c:pt>
                <c:pt idx="6">
                  <c:v>0.12808819999999999</c:v>
                </c:pt>
                <c:pt idx="7">
                  <c:v>0.1489016</c:v>
                </c:pt>
                <c:pt idx="8">
                  <c:v>0.18873799999999999</c:v>
                </c:pt>
                <c:pt idx="9">
                  <c:v>0.20224059999999999</c:v>
                </c:pt>
                <c:pt idx="10">
                  <c:v>0.2129084</c:v>
                </c:pt>
                <c:pt idx="11">
                  <c:v>0.1502444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4-4D9E-BCBC-1470A630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77416"/>
        <c:axId val="209277808"/>
      </c:lineChart>
      <c:catAx>
        <c:axId val="209277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550851433425896"/>
              <c:y val="0.893994416775641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3.864734299516908E-2"/>
              <c:y val="0.31095443458260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Discount Club Traffic</a:t>
            </a:r>
          </a:p>
        </c:rich>
      </c:tx>
      <c:layout>
        <c:manualLayout>
          <c:xMode val="edge"/>
          <c:yMode val="edge"/>
          <c:x val="0.3435831684141086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'&lt;857 - Discount Club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'&lt;857 - Discount Club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'&lt;857 - Discount Club (WisDOT)&gt;'!$H$62:$H$73</c:f>
              <c:numCache>
                <c:formatCode>0.00%</c:formatCode>
                <c:ptCount val="12"/>
                <c:pt idx="0">
                  <c:v>3.0648769574944071E-2</c:v>
                </c:pt>
                <c:pt idx="1">
                  <c:v>4.0492170022371363E-2</c:v>
                </c:pt>
                <c:pt idx="2">
                  <c:v>5.8389261744966441E-2</c:v>
                </c:pt>
                <c:pt idx="3">
                  <c:v>5.8165548098434001E-2</c:v>
                </c:pt>
                <c:pt idx="4">
                  <c:v>7.0693512304250555E-2</c:v>
                </c:pt>
                <c:pt idx="5">
                  <c:v>6.6666666666666666E-2</c:v>
                </c:pt>
                <c:pt idx="6">
                  <c:v>0.10044742729306488</c:v>
                </c:pt>
                <c:pt idx="7">
                  <c:v>8.612975391498881E-2</c:v>
                </c:pt>
                <c:pt idx="8">
                  <c:v>7.4720357941834459E-2</c:v>
                </c:pt>
                <c:pt idx="9">
                  <c:v>7.9865771812080544E-2</c:v>
                </c:pt>
                <c:pt idx="10">
                  <c:v>6.5771812080536909E-2</c:v>
                </c:pt>
                <c:pt idx="11">
                  <c:v>6.4653243847874714E-2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7B-4EE8-BBE2-9503F31E4905}"/>
            </c:ext>
          </c:extLst>
        </c:ser>
        <c:ser>
          <c:idx val="0"/>
          <c:order val="1"/>
          <c:tx>
            <c:strRef>
              <c:f>'&lt;857 - Discount Club (WisDOT)&gt;'!$F$19</c:f>
              <c:strCache>
                <c:ptCount val="1"/>
                <c:pt idx="0">
                  <c:v>WIS 100 / Lapham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'&lt;857 - Discount Club (WisDOT)&gt;'!$H$7:$H$18</c:f>
              <c:numCache>
                <c:formatCode>0.00%</c:formatCode>
                <c:ptCount val="12"/>
                <c:pt idx="0">
                  <c:v>3.0648769574944071E-2</c:v>
                </c:pt>
                <c:pt idx="1">
                  <c:v>4.0492170022371363E-2</c:v>
                </c:pt>
                <c:pt idx="2">
                  <c:v>5.8389261744966441E-2</c:v>
                </c:pt>
                <c:pt idx="3">
                  <c:v>5.8165548098434001E-2</c:v>
                </c:pt>
                <c:pt idx="4">
                  <c:v>7.0693512304250555E-2</c:v>
                </c:pt>
                <c:pt idx="5">
                  <c:v>6.6666666666666666E-2</c:v>
                </c:pt>
                <c:pt idx="6">
                  <c:v>0.10044742729306488</c:v>
                </c:pt>
                <c:pt idx="7">
                  <c:v>8.612975391498881E-2</c:v>
                </c:pt>
                <c:pt idx="8">
                  <c:v>7.4720357941834459E-2</c:v>
                </c:pt>
                <c:pt idx="9">
                  <c:v>7.9865771812080544E-2</c:v>
                </c:pt>
                <c:pt idx="10">
                  <c:v>6.5771812080536909E-2</c:v>
                </c:pt>
                <c:pt idx="11">
                  <c:v>6.4653243847874714E-2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B-4EE8-BBE2-9503F31E4905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'&lt;857 - Discount Club (WisDOT)&gt;'!$C$7:$C$18</c:f>
              <c:numCache>
                <c:formatCode>0.0%</c:formatCode>
                <c:ptCount val="12"/>
                <c:pt idx="0">
                  <c:v>3.1E-2</c:v>
                </c:pt>
                <c:pt idx="1">
                  <c:v>4.1000000000000002E-2</c:v>
                </c:pt>
                <c:pt idx="2">
                  <c:v>5.8000000000000003E-2</c:v>
                </c:pt>
                <c:pt idx="3">
                  <c:v>5.8000000000000003E-2</c:v>
                </c:pt>
                <c:pt idx="4">
                  <c:v>7.0999999999999994E-2</c:v>
                </c:pt>
                <c:pt idx="5">
                  <c:v>6.7000000000000004E-2</c:v>
                </c:pt>
                <c:pt idx="6">
                  <c:v>0.1</c:v>
                </c:pt>
                <c:pt idx="7">
                  <c:v>8.5999999999999993E-2</c:v>
                </c:pt>
                <c:pt idx="8">
                  <c:v>7.4999999999999997E-2</c:v>
                </c:pt>
                <c:pt idx="9">
                  <c:v>0.08</c:v>
                </c:pt>
                <c:pt idx="10">
                  <c:v>6.6000000000000003E-2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7B-4EE8-BBE2-9503F31E4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78984"/>
        <c:axId val="209279376"/>
      </c:lineChart>
      <c:catAx>
        <c:axId val="209278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8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65254677389925"/>
          <c:y val="0.92626728110599077"/>
          <c:w val="0.59893090235378332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Discount Club Traffic</a:t>
            </a:r>
          </a:p>
        </c:rich>
      </c:tx>
      <c:layout>
        <c:manualLayout>
          <c:xMode val="edge"/>
          <c:yMode val="edge"/>
          <c:x val="0.33422487964405517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'&lt;857 - Discount Club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'&lt;857 - Discount Club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'&lt;857 - Discount Club (WisDOT)&gt;'!$J$62:$J$73</c:f>
              <c:numCache>
                <c:formatCode>0.00%</c:formatCode>
                <c:ptCount val="12"/>
                <c:pt idx="0">
                  <c:v>2.215909090909091E-2</c:v>
                </c:pt>
                <c:pt idx="1">
                  <c:v>4.1477272727272731E-2</c:v>
                </c:pt>
                <c:pt idx="2">
                  <c:v>3.0681818181818182E-2</c:v>
                </c:pt>
                <c:pt idx="3">
                  <c:v>4.4886363636363634E-2</c:v>
                </c:pt>
                <c:pt idx="4">
                  <c:v>4.8863636363636366E-2</c:v>
                </c:pt>
                <c:pt idx="5">
                  <c:v>6.931818181818182E-2</c:v>
                </c:pt>
                <c:pt idx="6">
                  <c:v>9.7727272727272732E-2</c:v>
                </c:pt>
                <c:pt idx="7">
                  <c:v>0.1</c:v>
                </c:pt>
                <c:pt idx="8">
                  <c:v>8.1250000000000003E-2</c:v>
                </c:pt>
                <c:pt idx="9">
                  <c:v>8.8636363636363638E-2</c:v>
                </c:pt>
                <c:pt idx="10">
                  <c:v>9.488636363636363E-2</c:v>
                </c:pt>
                <c:pt idx="11">
                  <c:v>7.8409090909090914E-2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B-45D5-BE95-86C366EA0DE1}"/>
            </c:ext>
          </c:extLst>
        </c:ser>
        <c:ser>
          <c:idx val="0"/>
          <c:order val="1"/>
          <c:tx>
            <c:strRef>
              <c:f>'&lt;857 - Discount Club (WisDOT)&gt;'!$F$19</c:f>
              <c:strCache>
                <c:ptCount val="1"/>
                <c:pt idx="0">
                  <c:v>WIS 100 / Lapham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'&lt;857 - Discount Club (WisDOT)&gt;'!$J$7:$J$18</c:f>
              <c:numCache>
                <c:formatCode>0.00%</c:formatCode>
                <c:ptCount val="12"/>
                <c:pt idx="0">
                  <c:v>2.215909090909091E-2</c:v>
                </c:pt>
                <c:pt idx="1">
                  <c:v>4.1477272727272731E-2</c:v>
                </c:pt>
                <c:pt idx="2">
                  <c:v>3.0681818181818182E-2</c:v>
                </c:pt>
                <c:pt idx="3">
                  <c:v>4.4886363636363634E-2</c:v>
                </c:pt>
                <c:pt idx="4">
                  <c:v>4.8863636363636366E-2</c:v>
                </c:pt>
                <c:pt idx="5">
                  <c:v>6.931818181818182E-2</c:v>
                </c:pt>
                <c:pt idx="6">
                  <c:v>9.7727272727272732E-2</c:v>
                </c:pt>
                <c:pt idx="7">
                  <c:v>0.1</c:v>
                </c:pt>
                <c:pt idx="8">
                  <c:v>8.1250000000000003E-2</c:v>
                </c:pt>
                <c:pt idx="9">
                  <c:v>8.8636363636363638E-2</c:v>
                </c:pt>
                <c:pt idx="10">
                  <c:v>9.488636363636363E-2</c:v>
                </c:pt>
                <c:pt idx="11">
                  <c:v>7.8409090909090914E-2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B-45D5-BE95-86C366EA0DE1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'&lt;857 - Discount Club (WisDOT)&gt;'!$D$7:$D$18</c:f>
              <c:numCache>
                <c:formatCode>0.0%</c:formatCode>
                <c:ptCount val="12"/>
                <c:pt idx="0">
                  <c:v>2.1999999999999999E-2</c:v>
                </c:pt>
                <c:pt idx="1">
                  <c:v>4.2000000000000003E-2</c:v>
                </c:pt>
                <c:pt idx="2">
                  <c:v>3.1E-2</c:v>
                </c:pt>
                <c:pt idx="3">
                  <c:v>4.4999999999999998E-2</c:v>
                </c:pt>
                <c:pt idx="4">
                  <c:v>4.9000000000000002E-2</c:v>
                </c:pt>
                <c:pt idx="5">
                  <c:v>6.9000000000000006E-2</c:v>
                </c:pt>
                <c:pt idx="6">
                  <c:v>9.8000000000000004E-2</c:v>
                </c:pt>
                <c:pt idx="7">
                  <c:v>0.1</c:v>
                </c:pt>
                <c:pt idx="8">
                  <c:v>8.1000000000000003E-2</c:v>
                </c:pt>
                <c:pt idx="9">
                  <c:v>8.8999999999999996E-2</c:v>
                </c:pt>
                <c:pt idx="10">
                  <c:v>9.5000000000000001E-2</c:v>
                </c:pt>
                <c:pt idx="11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6B-45D5-BE95-86C366EA0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80160"/>
        <c:axId val="209383136"/>
      </c:lineChart>
      <c:catAx>
        <c:axId val="20928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80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65254677389925"/>
          <c:y val="0.92626728110599077"/>
          <c:w val="0.59893090235378332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Home Improvement Traffic</a:t>
            </a:r>
          </a:p>
        </c:rich>
      </c:tx>
      <c:layout>
        <c:manualLayout>
          <c:xMode val="edge"/>
          <c:yMode val="edge"/>
          <c:x val="0.32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6285837585263363"/>
        </c:manualLayout>
      </c:layout>
      <c:lineChart>
        <c:grouping val="standard"/>
        <c:varyColors val="0"/>
        <c:ser>
          <c:idx val="3"/>
          <c:order val="0"/>
          <c:tx>
            <c:strRef>
              <c:f>'862 - Home Improvement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(WisDOT)'!$J$62:$J$73</c:f>
              <c:numCache>
                <c:formatCode>0.00%</c:formatCode>
                <c:ptCount val="12"/>
                <c:pt idx="0">
                  <c:v>8.0145719489981785E-3</c:v>
                </c:pt>
                <c:pt idx="1">
                  <c:v>1.4638185129988409E-2</c:v>
                </c:pt>
                <c:pt idx="2">
                  <c:v>3.4889882430866034E-2</c:v>
                </c:pt>
                <c:pt idx="3">
                  <c:v>5.5704586852127834E-2</c:v>
                </c:pt>
                <c:pt idx="4">
                  <c:v>6.4414638185129991E-2</c:v>
                </c:pt>
                <c:pt idx="5">
                  <c:v>7.7061599602583214E-2</c:v>
                </c:pt>
                <c:pt idx="6">
                  <c:v>0.11365706242755423</c:v>
                </c:pt>
                <c:pt idx="7">
                  <c:v>0.10202020202020202</c:v>
                </c:pt>
                <c:pt idx="8">
                  <c:v>6.8111442291770158E-2</c:v>
                </c:pt>
                <c:pt idx="9">
                  <c:v>7.6804934591819835E-2</c:v>
                </c:pt>
                <c:pt idx="10">
                  <c:v>7.337307501241927E-2</c:v>
                </c:pt>
                <c:pt idx="11">
                  <c:v>8.5216923331677435E-2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F-46B1-B3B6-7D0C1E68ABB0}"/>
            </c:ext>
          </c:extLst>
        </c:ser>
        <c:ser>
          <c:idx val="0"/>
          <c:order val="1"/>
          <c:tx>
            <c:strRef>
              <c:f>'862 - Home Improvement (WisDOT)'!$F$19</c:f>
              <c:strCache>
                <c:ptCount val="1"/>
                <c:pt idx="0">
                  <c:v>WIS 100 / Dakota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(WisDOT)'!$J$7:$J$18</c:f>
              <c:numCache>
                <c:formatCode>0.00%</c:formatCode>
                <c:ptCount val="12"/>
                <c:pt idx="0">
                  <c:v>1.1111111111111112E-2</c:v>
                </c:pt>
                <c:pt idx="1">
                  <c:v>1.6161616161616162E-2</c:v>
                </c:pt>
                <c:pt idx="2">
                  <c:v>3.5353535353535352E-2</c:v>
                </c:pt>
                <c:pt idx="3">
                  <c:v>4.7474747474747475E-2</c:v>
                </c:pt>
                <c:pt idx="4">
                  <c:v>6.1616161616161617E-2</c:v>
                </c:pt>
                <c:pt idx="5">
                  <c:v>6.9696969696969702E-2</c:v>
                </c:pt>
                <c:pt idx="6">
                  <c:v>0.1101010101010101</c:v>
                </c:pt>
                <c:pt idx="7">
                  <c:v>0.10404040404040404</c:v>
                </c:pt>
                <c:pt idx="8">
                  <c:v>7.4747474747474743E-2</c:v>
                </c:pt>
                <c:pt idx="9">
                  <c:v>6.2626262626262627E-2</c:v>
                </c:pt>
                <c:pt idx="10">
                  <c:v>6.9696969696969702E-2</c:v>
                </c:pt>
                <c:pt idx="11">
                  <c:v>0.10404040404040404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F-46B1-B3B6-7D0C1E68ABB0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1.4999999999999999E-2</c:v>
                </c:pt>
                <c:pt idx="2">
                  <c:v>3.5000000000000003E-2</c:v>
                </c:pt>
                <c:pt idx="3">
                  <c:v>5.6000000000000001E-2</c:v>
                </c:pt>
                <c:pt idx="4">
                  <c:v>6.4000000000000001E-2</c:v>
                </c:pt>
                <c:pt idx="5">
                  <c:v>7.6999999999999999E-2</c:v>
                </c:pt>
                <c:pt idx="6">
                  <c:v>0.114</c:v>
                </c:pt>
                <c:pt idx="7">
                  <c:v>0.10199999999999999</c:v>
                </c:pt>
                <c:pt idx="8">
                  <c:v>6.8000000000000005E-2</c:v>
                </c:pt>
                <c:pt idx="9">
                  <c:v>7.6999999999999999E-2</c:v>
                </c:pt>
                <c:pt idx="10">
                  <c:v>7.2999999999999995E-2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F-46B1-B3B6-7D0C1E68ABB0}"/>
            </c:ext>
          </c:extLst>
        </c:ser>
        <c:ser>
          <c:idx val="1"/>
          <c:order val="3"/>
          <c:tx>
            <c:strRef>
              <c:f>'862 - Home Improvement (WisDOT)'!$F$37</c:f>
              <c:strCache>
                <c:ptCount val="1"/>
                <c:pt idx="0">
                  <c:v>USH 18 / Menards Median Opening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(WisDOT)'!$J$25:$J$36</c:f>
              <c:numCache>
                <c:formatCode>0.00%</c:formatCode>
                <c:ptCount val="12"/>
                <c:pt idx="0">
                  <c:v>4.9180327868852463E-3</c:v>
                </c:pt>
                <c:pt idx="1">
                  <c:v>1.3114754098360656E-2</c:v>
                </c:pt>
                <c:pt idx="2">
                  <c:v>3.4426229508196723E-2</c:v>
                </c:pt>
                <c:pt idx="3">
                  <c:v>6.3934426229508193E-2</c:v>
                </c:pt>
                <c:pt idx="4">
                  <c:v>6.7213114754098358E-2</c:v>
                </c:pt>
                <c:pt idx="5">
                  <c:v>8.4426229508196726E-2</c:v>
                </c:pt>
                <c:pt idx="6">
                  <c:v>0.11721311475409836</c:v>
                </c:pt>
                <c:pt idx="7">
                  <c:v>0.1</c:v>
                </c:pt>
                <c:pt idx="8">
                  <c:v>6.1475409836065573E-2</c:v>
                </c:pt>
                <c:pt idx="9">
                  <c:v>9.0983606557377056E-2</c:v>
                </c:pt>
                <c:pt idx="10">
                  <c:v>7.7049180327868852E-2</c:v>
                </c:pt>
                <c:pt idx="11">
                  <c:v>6.6393442622950813E-2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4F-46B1-B3B6-7D0C1E68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383920"/>
        <c:axId val="209384312"/>
      </c:lineChart>
      <c:catAx>
        <c:axId val="20938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4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23810123734533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2499999999999998E-2"/>
          <c:y val="0.93904941882264714"/>
          <c:w val="0.89500000000000002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Home Improvement Traffic</a:t>
            </a:r>
          </a:p>
        </c:rich>
      </c:tx>
      <c:layout>
        <c:manualLayout>
          <c:xMode val="edge"/>
          <c:yMode val="edge"/>
          <c:x val="0.32788971102230313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3991898131868352"/>
        </c:manualLayout>
      </c:layout>
      <c:lineChart>
        <c:grouping val="standard"/>
        <c:varyColors val="0"/>
        <c:ser>
          <c:idx val="3"/>
          <c:order val="0"/>
          <c:tx>
            <c:strRef>
              <c:f>'862 - Home Improvement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(WisDOT)'!$H$62:$H$73</c:f>
              <c:numCache>
                <c:formatCode>0.00%</c:formatCode>
                <c:ptCount val="12"/>
                <c:pt idx="0">
                  <c:v>1.9299985766644129E-2</c:v>
                </c:pt>
                <c:pt idx="1">
                  <c:v>3.5150606696793936E-2</c:v>
                </c:pt>
                <c:pt idx="2">
                  <c:v>4.938574173575775E-2</c:v>
                </c:pt>
                <c:pt idx="3">
                  <c:v>5.3974664626552322E-2</c:v>
                </c:pt>
                <c:pt idx="4">
                  <c:v>6.6011190976052375E-2</c:v>
                </c:pt>
                <c:pt idx="5">
                  <c:v>9.252481941429741E-2</c:v>
                </c:pt>
                <c:pt idx="6">
                  <c:v>0.10464585631427251</c:v>
                </c:pt>
                <c:pt idx="7">
                  <c:v>8.0281019819948049E-2</c:v>
                </c:pt>
                <c:pt idx="8">
                  <c:v>7.7261324413763655E-2</c:v>
                </c:pt>
                <c:pt idx="9">
                  <c:v>6.1851937515567737E-2</c:v>
                </c:pt>
                <c:pt idx="10">
                  <c:v>6.4956143472227168E-2</c:v>
                </c:pt>
                <c:pt idx="11">
                  <c:v>7.4375956303597474E-2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5-4035-9B71-4E7C086A6D09}"/>
            </c:ext>
          </c:extLst>
        </c:ser>
        <c:ser>
          <c:idx val="0"/>
          <c:order val="1"/>
          <c:tx>
            <c:strRef>
              <c:f>'862 - Home Improvement (WisDOT)'!$F$19</c:f>
              <c:strCache>
                <c:ptCount val="1"/>
                <c:pt idx="0">
                  <c:v>WIS 100 / Dakota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(WisDOT)'!$H$7:$H$18</c:f>
              <c:numCache>
                <c:formatCode>0.00%</c:formatCode>
                <c:ptCount val="12"/>
                <c:pt idx="0">
                  <c:v>1.9745222929936305E-2</c:v>
                </c:pt>
                <c:pt idx="1">
                  <c:v>4.5859872611464965E-2</c:v>
                </c:pt>
                <c:pt idx="2">
                  <c:v>5.4777070063694269E-2</c:v>
                </c:pt>
                <c:pt idx="3">
                  <c:v>4.64968152866242E-2</c:v>
                </c:pt>
                <c:pt idx="4">
                  <c:v>5.0318471337579621E-2</c:v>
                </c:pt>
                <c:pt idx="5">
                  <c:v>9.4267515923566886E-2</c:v>
                </c:pt>
                <c:pt idx="6">
                  <c:v>0.11082802547770701</c:v>
                </c:pt>
                <c:pt idx="7">
                  <c:v>8.025477707006369E-2</c:v>
                </c:pt>
                <c:pt idx="8">
                  <c:v>7.7707006369426748E-2</c:v>
                </c:pt>
                <c:pt idx="9">
                  <c:v>4.9681528662420385E-2</c:v>
                </c:pt>
                <c:pt idx="10">
                  <c:v>6.4968152866242038E-2</c:v>
                </c:pt>
                <c:pt idx="11">
                  <c:v>7.9617834394904455E-2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5-4035-9B71-4E7C086A6D09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(WisDOT)'!$C$7:$C$18</c:f>
              <c:numCache>
                <c:formatCode>0.0%</c:formatCode>
                <c:ptCount val="12"/>
                <c:pt idx="0">
                  <c:v>1.9E-2</c:v>
                </c:pt>
                <c:pt idx="1">
                  <c:v>3.5000000000000003E-2</c:v>
                </c:pt>
                <c:pt idx="2">
                  <c:v>4.9000000000000002E-2</c:v>
                </c:pt>
                <c:pt idx="3">
                  <c:v>5.3999999999999999E-2</c:v>
                </c:pt>
                <c:pt idx="4">
                  <c:v>6.6000000000000003E-2</c:v>
                </c:pt>
                <c:pt idx="5">
                  <c:v>9.2999999999999999E-2</c:v>
                </c:pt>
                <c:pt idx="6">
                  <c:v>0.105</c:v>
                </c:pt>
                <c:pt idx="7">
                  <c:v>0.08</c:v>
                </c:pt>
                <c:pt idx="8">
                  <c:v>7.6999999999999999E-2</c:v>
                </c:pt>
                <c:pt idx="9">
                  <c:v>6.2E-2</c:v>
                </c:pt>
                <c:pt idx="10">
                  <c:v>6.5000000000000002E-2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5-4035-9B71-4E7C086A6D09}"/>
            </c:ext>
          </c:extLst>
        </c:ser>
        <c:ser>
          <c:idx val="1"/>
          <c:order val="3"/>
          <c:tx>
            <c:strRef>
              <c:f>'862 - Home Improvement (WisDOT)'!$F$37</c:f>
              <c:strCache>
                <c:ptCount val="1"/>
                <c:pt idx="0">
                  <c:v>USH 18 / Menards Median Opening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(WisDOT)'!$H$25:$H$36</c:f>
              <c:numCache>
                <c:formatCode>0.00%</c:formatCode>
                <c:ptCount val="12"/>
                <c:pt idx="0">
                  <c:v>1.8854748603351956E-2</c:v>
                </c:pt>
                <c:pt idx="1">
                  <c:v>2.4441340782122904E-2</c:v>
                </c:pt>
                <c:pt idx="2">
                  <c:v>4.3994413407821231E-2</c:v>
                </c:pt>
                <c:pt idx="3">
                  <c:v>6.1452513966480445E-2</c:v>
                </c:pt>
                <c:pt idx="4">
                  <c:v>8.1703910614525144E-2</c:v>
                </c:pt>
                <c:pt idx="5">
                  <c:v>9.0782122905027934E-2</c:v>
                </c:pt>
                <c:pt idx="6">
                  <c:v>9.8463687150837989E-2</c:v>
                </c:pt>
                <c:pt idx="7">
                  <c:v>8.0307262569832408E-2</c:v>
                </c:pt>
                <c:pt idx="8">
                  <c:v>7.6815642458100561E-2</c:v>
                </c:pt>
                <c:pt idx="9">
                  <c:v>7.4022346368715089E-2</c:v>
                </c:pt>
                <c:pt idx="10">
                  <c:v>6.4944134078212284E-2</c:v>
                </c:pt>
                <c:pt idx="11">
                  <c:v>6.9134078212290506E-2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55-4035-9B71-4E7C086A6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385096"/>
        <c:axId val="209385488"/>
      </c:lineChart>
      <c:catAx>
        <c:axId val="209385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065850102070574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251256281407038E-2"/>
          <c:y val="0.93415832280224231"/>
          <c:w val="0.89949801500943039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Fast Food Traffic</a:t>
            </a:r>
          </a:p>
        </c:rich>
      </c:tx>
      <c:layout>
        <c:manualLayout>
          <c:xMode val="edge"/>
          <c:yMode val="edge"/>
          <c:x val="0.36497354274565946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'&lt;934 - Fast Food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'&lt;934 - Fast Food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'&lt;934 - Fast Food (WisDOT)&gt;'!$H$62:$H$73</c:f>
              <c:numCache>
                <c:formatCode>0.00%</c:formatCode>
                <c:ptCount val="12"/>
                <c:pt idx="0">
                  <c:v>4.11522633744856E-3</c:v>
                </c:pt>
                <c:pt idx="1">
                  <c:v>4.11522633744856E-3</c:v>
                </c:pt>
                <c:pt idx="2">
                  <c:v>2.4691358024691357E-2</c:v>
                </c:pt>
                <c:pt idx="3">
                  <c:v>1.2345679012345678E-2</c:v>
                </c:pt>
                <c:pt idx="4">
                  <c:v>3.292181069958848E-2</c:v>
                </c:pt>
                <c:pt idx="5">
                  <c:v>0.11522633744855967</c:v>
                </c:pt>
                <c:pt idx="6">
                  <c:v>0.1728395061728395</c:v>
                </c:pt>
                <c:pt idx="7">
                  <c:v>7.407407407407407E-2</c:v>
                </c:pt>
                <c:pt idx="8">
                  <c:v>3.292181069958848E-2</c:v>
                </c:pt>
                <c:pt idx="9">
                  <c:v>5.7613168724279837E-2</c:v>
                </c:pt>
                <c:pt idx="10">
                  <c:v>8.6419753086419748E-2</c:v>
                </c:pt>
                <c:pt idx="11">
                  <c:v>0.15226337448559671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4-4F42-B960-CF594D8F6AA9}"/>
            </c:ext>
          </c:extLst>
        </c:ser>
        <c:ser>
          <c:idx val="0"/>
          <c:order val="1"/>
          <c:tx>
            <c:strRef>
              <c:f>'&lt;934 - Fast Food (WisDOT)&gt;'!$F$19</c:f>
              <c:strCache>
                <c:ptCount val="1"/>
                <c:pt idx="0">
                  <c:v>WIS 20 / Sunnyslope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'&lt;934 - Fast Food (WisDOT)&gt;'!$H$7:$H$18</c:f>
              <c:numCache>
                <c:formatCode>0.00%</c:formatCode>
                <c:ptCount val="12"/>
                <c:pt idx="0">
                  <c:v>4.11522633744856E-3</c:v>
                </c:pt>
                <c:pt idx="1">
                  <c:v>4.11522633744856E-3</c:v>
                </c:pt>
                <c:pt idx="2">
                  <c:v>2.4691358024691357E-2</c:v>
                </c:pt>
                <c:pt idx="3">
                  <c:v>1.2345679012345678E-2</c:v>
                </c:pt>
                <c:pt idx="4">
                  <c:v>3.292181069958848E-2</c:v>
                </c:pt>
                <c:pt idx="5">
                  <c:v>0.11522633744855967</c:v>
                </c:pt>
                <c:pt idx="6">
                  <c:v>0.1728395061728395</c:v>
                </c:pt>
                <c:pt idx="7">
                  <c:v>7.407407407407407E-2</c:v>
                </c:pt>
                <c:pt idx="8">
                  <c:v>3.292181069958848E-2</c:v>
                </c:pt>
                <c:pt idx="9">
                  <c:v>5.7613168724279837E-2</c:v>
                </c:pt>
                <c:pt idx="10">
                  <c:v>8.6419753086419748E-2</c:v>
                </c:pt>
                <c:pt idx="11">
                  <c:v>0.15226337448559671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4-4F42-B960-CF594D8F6AA9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'&lt;934 - Fast Food (WisDOT)&gt;'!$C$7:$C$18</c:f>
              <c:numCache>
                <c:formatCode>0.0%</c:formatCode>
                <c:ptCount val="12"/>
                <c:pt idx="0">
                  <c:v>4.0000000000000001E-3</c:v>
                </c:pt>
                <c:pt idx="1">
                  <c:v>4.0000000000000001E-3</c:v>
                </c:pt>
                <c:pt idx="2">
                  <c:v>2.5000000000000001E-2</c:v>
                </c:pt>
                <c:pt idx="3">
                  <c:v>1.2E-2</c:v>
                </c:pt>
                <c:pt idx="4">
                  <c:v>3.3000000000000002E-2</c:v>
                </c:pt>
                <c:pt idx="5">
                  <c:v>0.115</c:v>
                </c:pt>
                <c:pt idx="6">
                  <c:v>0.17299999999999999</c:v>
                </c:pt>
                <c:pt idx="7">
                  <c:v>7.3999999999999996E-2</c:v>
                </c:pt>
                <c:pt idx="8">
                  <c:v>3.3000000000000002E-2</c:v>
                </c:pt>
                <c:pt idx="9">
                  <c:v>5.8000000000000003E-2</c:v>
                </c:pt>
                <c:pt idx="10">
                  <c:v>8.5999999999999993E-2</c:v>
                </c:pt>
                <c:pt idx="11">
                  <c:v>0.152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D4-4F42-B960-CF594D8F6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386272"/>
        <c:axId val="209386664"/>
      </c:lineChart>
      <c:catAx>
        <c:axId val="20938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6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6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95735960812383"/>
          <c:y val="0.92626728110599077"/>
          <c:w val="0.61898437828961228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Fast Food Traffic</a:t>
            </a:r>
          </a:p>
        </c:rich>
      </c:tx>
      <c:layout>
        <c:manualLayout>
          <c:xMode val="edge"/>
          <c:yMode val="edge"/>
          <c:x val="0.355615253975606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'&lt;934 - Fast Food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'&lt;934 - Fast Food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'&lt;934 - Fast Food (WisDOT)&gt;'!$J$62:$J$73</c:f>
              <c:numCache>
                <c:formatCode>0.00%</c:formatCode>
                <c:ptCount val="12"/>
                <c:pt idx="0">
                  <c:v>4.3103448275862068E-3</c:v>
                </c:pt>
                <c:pt idx="1">
                  <c:v>4.3103448275862068E-3</c:v>
                </c:pt>
                <c:pt idx="2">
                  <c:v>8.6206896551724137E-3</c:v>
                </c:pt>
                <c:pt idx="3">
                  <c:v>8.6206896551724137E-3</c:v>
                </c:pt>
                <c:pt idx="4">
                  <c:v>3.017241379310345E-2</c:v>
                </c:pt>
                <c:pt idx="5">
                  <c:v>0.10775862068965517</c:v>
                </c:pt>
                <c:pt idx="6">
                  <c:v>0.21551724137931033</c:v>
                </c:pt>
                <c:pt idx="7">
                  <c:v>9.9137931034482762E-2</c:v>
                </c:pt>
                <c:pt idx="8">
                  <c:v>5.6034482758620691E-2</c:v>
                </c:pt>
                <c:pt idx="9">
                  <c:v>6.0344827586206899E-2</c:v>
                </c:pt>
                <c:pt idx="10">
                  <c:v>5.1724137931034482E-2</c:v>
                </c:pt>
                <c:pt idx="11">
                  <c:v>0.1206896551724138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B-43F6-AD38-F48E19A804DE}"/>
            </c:ext>
          </c:extLst>
        </c:ser>
        <c:ser>
          <c:idx val="0"/>
          <c:order val="1"/>
          <c:tx>
            <c:strRef>
              <c:f>'&lt;934 - Fast Food (WisDOT)&gt;'!$F$19</c:f>
              <c:strCache>
                <c:ptCount val="1"/>
                <c:pt idx="0">
                  <c:v>WIS 20 / Sunnyslope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'&lt;934 - Fast Food (WisDOT)&gt;'!$J$7:$J$18</c:f>
              <c:numCache>
                <c:formatCode>0.00%</c:formatCode>
                <c:ptCount val="12"/>
                <c:pt idx="0">
                  <c:v>4.3103448275862068E-3</c:v>
                </c:pt>
                <c:pt idx="1">
                  <c:v>4.3103448275862068E-3</c:v>
                </c:pt>
                <c:pt idx="2">
                  <c:v>8.6206896551724137E-3</c:v>
                </c:pt>
                <c:pt idx="3">
                  <c:v>8.6206896551724137E-3</c:v>
                </c:pt>
                <c:pt idx="4">
                  <c:v>3.017241379310345E-2</c:v>
                </c:pt>
                <c:pt idx="5">
                  <c:v>0.10775862068965517</c:v>
                </c:pt>
                <c:pt idx="6">
                  <c:v>0.21551724137931033</c:v>
                </c:pt>
                <c:pt idx="7">
                  <c:v>9.9137931034482762E-2</c:v>
                </c:pt>
                <c:pt idx="8">
                  <c:v>5.6034482758620691E-2</c:v>
                </c:pt>
                <c:pt idx="9">
                  <c:v>6.0344827586206899E-2</c:v>
                </c:pt>
                <c:pt idx="10">
                  <c:v>5.1724137931034482E-2</c:v>
                </c:pt>
                <c:pt idx="11">
                  <c:v>0.1206896551724138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B-43F6-AD38-F48E19A804DE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'&lt;934 - Fast Food (WisDOT)&gt;'!$D$7:$D$18</c:f>
              <c:numCache>
                <c:formatCode>0.0%</c:formatCode>
                <c:ptCount val="12"/>
                <c:pt idx="0">
                  <c:v>4.0000000000000001E-3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0.03</c:v>
                </c:pt>
                <c:pt idx="5">
                  <c:v>0.108</c:v>
                </c:pt>
                <c:pt idx="6">
                  <c:v>0.216</c:v>
                </c:pt>
                <c:pt idx="7">
                  <c:v>9.9000000000000005E-2</c:v>
                </c:pt>
                <c:pt idx="8">
                  <c:v>5.6000000000000001E-2</c:v>
                </c:pt>
                <c:pt idx="9">
                  <c:v>0.06</c:v>
                </c:pt>
                <c:pt idx="10">
                  <c:v>5.1999999999999998E-2</c:v>
                </c:pt>
                <c:pt idx="11">
                  <c:v>0.121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0B-43F6-AD38-F48E19A80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31048"/>
        <c:axId val="210131440"/>
      </c:lineChart>
      <c:catAx>
        <c:axId val="21013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1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95735960812383"/>
          <c:y val="0.92626728110599077"/>
          <c:w val="0.61898437828961228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Manufacturing Traffic</a:t>
            </a:r>
          </a:p>
        </c:rich>
      </c:tx>
      <c:layout>
        <c:manualLayout>
          <c:xMode val="edge"/>
          <c:yMode val="edge"/>
          <c:x val="0.34499999999999997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58666775793853787"/>
        </c:manualLayout>
      </c:layout>
      <c:lineChart>
        <c:grouping val="standard"/>
        <c:varyColors val="0"/>
        <c:ser>
          <c:idx val="3"/>
          <c:order val="0"/>
          <c:tx>
            <c:strRef>
              <c:f>'140 - Manufacturing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'140 - Manufacturing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'140 - Manufacturing (WisDOT)'!$J$62:$J$73</c:f>
              <c:numCache>
                <c:formatCode>0.00%</c:formatCode>
                <c:ptCount val="12"/>
                <c:pt idx="0">
                  <c:v>1.8584103749341382E-2</c:v>
                </c:pt>
                <c:pt idx="1">
                  <c:v>2.8246727627006692E-2</c:v>
                </c:pt>
                <c:pt idx="2">
                  <c:v>2.276450649347005E-2</c:v>
                </c:pt>
                <c:pt idx="3">
                  <c:v>2.5130176542372481E-2</c:v>
                </c:pt>
                <c:pt idx="4">
                  <c:v>3.7509283599422232E-2</c:v>
                </c:pt>
                <c:pt idx="5">
                  <c:v>7.0526524898641432E-2</c:v>
                </c:pt>
                <c:pt idx="6">
                  <c:v>8.3824492035850753E-2</c:v>
                </c:pt>
                <c:pt idx="7">
                  <c:v>5.933707747118331E-2</c:v>
                </c:pt>
                <c:pt idx="8">
                  <c:v>0.13163392704848798</c:v>
                </c:pt>
                <c:pt idx="9">
                  <c:v>0.10654833095822876</c:v>
                </c:pt>
                <c:pt idx="10">
                  <c:v>7.8505794558362277E-2</c:v>
                </c:pt>
                <c:pt idx="11">
                  <c:v>4.8200996736737937E-2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C-43AD-A5D4-E5A0EDFF3C6E}"/>
            </c:ext>
          </c:extLst>
        </c:ser>
        <c:ser>
          <c:idx val="0"/>
          <c:order val="1"/>
          <c:tx>
            <c:strRef>
              <c:f>'140 - Manufacturing (WisDOT)'!$F$19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(WisDOT)'!$J$7:$J$18</c:f>
              <c:numCache>
                <c:formatCode>0.00%</c:formatCode>
                <c:ptCount val="12"/>
                <c:pt idx="0">
                  <c:v>2.8391167192429023E-2</c:v>
                </c:pt>
                <c:pt idx="1">
                  <c:v>4.2902208201892743E-2</c:v>
                </c:pt>
                <c:pt idx="2">
                  <c:v>2.9022082018927444E-2</c:v>
                </c:pt>
                <c:pt idx="3">
                  <c:v>2.082018927444795E-2</c:v>
                </c:pt>
                <c:pt idx="4">
                  <c:v>2.5867507886435333E-2</c:v>
                </c:pt>
                <c:pt idx="5">
                  <c:v>6.3091482649842268E-2</c:v>
                </c:pt>
                <c:pt idx="6">
                  <c:v>5.5520504731861202E-2</c:v>
                </c:pt>
                <c:pt idx="7">
                  <c:v>3.7854889589905363E-2</c:v>
                </c:pt>
                <c:pt idx="8">
                  <c:v>0.16845425867507888</c:v>
                </c:pt>
                <c:pt idx="9">
                  <c:v>0.11230283911671925</c:v>
                </c:pt>
                <c:pt idx="10">
                  <c:v>7.9495268138801256E-2</c:v>
                </c:pt>
                <c:pt idx="11">
                  <c:v>2.6498422712933754E-2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C-43AD-A5D4-E5A0EDFF3C6E}"/>
            </c:ext>
          </c:extLst>
        </c:ser>
        <c:ser>
          <c:idx val="1"/>
          <c:order val="2"/>
          <c:tx>
            <c:strRef>
              <c:f>'140 - Manufacturing (WisDOT)'!$F$37</c:f>
              <c:strCache>
                <c:ptCount val="1"/>
                <c:pt idx="0">
                  <c:v>WIS 100 / Theo Trecker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(WisDOT)'!$J$25:$J$36</c:f>
              <c:numCache>
                <c:formatCode>0.00%</c:formatCode>
                <c:ptCount val="12"/>
                <c:pt idx="0">
                  <c:v>2.1443984292281507E-2</c:v>
                </c:pt>
                <c:pt idx="1">
                  <c:v>2.2114108801415303E-2</c:v>
                </c:pt>
                <c:pt idx="2">
                  <c:v>2.5464731347084289E-2</c:v>
                </c:pt>
                <c:pt idx="3">
                  <c:v>3.4846474474957451E-2</c:v>
                </c:pt>
                <c:pt idx="4">
                  <c:v>6.2991703858576928E-2</c:v>
                </c:pt>
                <c:pt idx="5">
                  <c:v>9.9178427351801962E-2</c:v>
                </c:pt>
                <c:pt idx="6">
                  <c:v>0.14072614691809737</c:v>
                </c:pt>
                <c:pt idx="7">
                  <c:v>0.11057054400707651</c:v>
                </c:pt>
                <c:pt idx="8">
                  <c:v>8.4435688150858432E-2</c:v>
                </c:pt>
                <c:pt idx="9">
                  <c:v>4.7578840148499592E-2</c:v>
                </c:pt>
                <c:pt idx="10">
                  <c:v>4.5568466621098203E-2</c:v>
                </c:pt>
                <c:pt idx="11">
                  <c:v>5.6960583276372753E-2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C-43AD-A5D4-E5A0EDFF3C6E}"/>
            </c:ext>
          </c:extLst>
        </c:ser>
        <c:ser>
          <c:idx val="2"/>
          <c:order val="3"/>
          <c:tx>
            <c:strRef>
              <c:f>'140 - Manufacturing (WisDOT)'!$F$55</c:f>
              <c:strCache>
                <c:ptCount val="1"/>
                <c:pt idx="0">
                  <c:v>Pilgrim Rd / Anthony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(WisDOT)'!$J$43:$J$54</c:f>
              <c:numCache>
                <c:formatCode>0.00%</c:formatCode>
                <c:ptCount val="12"/>
                <c:pt idx="0">
                  <c:v>5.9171597633136093E-3</c:v>
                </c:pt>
                <c:pt idx="1">
                  <c:v>1.9723865877712032E-2</c:v>
                </c:pt>
                <c:pt idx="2">
                  <c:v>1.3806706114398421E-2</c:v>
                </c:pt>
                <c:pt idx="3">
                  <c:v>1.9723865877712032E-2</c:v>
                </c:pt>
                <c:pt idx="4">
                  <c:v>2.3668639053254437E-2</c:v>
                </c:pt>
                <c:pt idx="5">
                  <c:v>4.9309664694280081E-2</c:v>
                </c:pt>
                <c:pt idx="6">
                  <c:v>5.5226824457593686E-2</c:v>
                </c:pt>
                <c:pt idx="7">
                  <c:v>2.9585798816568046E-2</c:v>
                </c:pt>
                <c:pt idx="8">
                  <c:v>0.14201183431952663</c:v>
                </c:pt>
                <c:pt idx="9">
                  <c:v>0.15976331360946747</c:v>
                </c:pt>
                <c:pt idx="10">
                  <c:v>0.11045364891518737</c:v>
                </c:pt>
                <c:pt idx="11">
                  <c:v>6.1143984220907298E-2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C-43AD-A5D4-E5A0EDFF3C6E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'140 - Manufacturing (WisDOT)'!$D$7:$D$18</c:f>
              <c:numCache>
                <c:formatCode>0.0%</c:formatCode>
                <c:ptCount val="12"/>
                <c:pt idx="0">
                  <c:v>1.9E-2</c:v>
                </c:pt>
                <c:pt idx="1">
                  <c:v>2.8000000000000001E-2</c:v>
                </c:pt>
                <c:pt idx="2">
                  <c:v>2.3E-2</c:v>
                </c:pt>
                <c:pt idx="3">
                  <c:v>2.5000000000000001E-2</c:v>
                </c:pt>
                <c:pt idx="4">
                  <c:v>3.7999999999999999E-2</c:v>
                </c:pt>
                <c:pt idx="5">
                  <c:v>7.0999999999999994E-2</c:v>
                </c:pt>
                <c:pt idx="6">
                  <c:v>8.4000000000000005E-2</c:v>
                </c:pt>
                <c:pt idx="7">
                  <c:v>5.8999999999999997E-2</c:v>
                </c:pt>
                <c:pt idx="8">
                  <c:v>0.13200000000000001</c:v>
                </c:pt>
                <c:pt idx="9">
                  <c:v>0.107</c:v>
                </c:pt>
                <c:pt idx="10">
                  <c:v>7.9000000000000001E-2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C-43AD-A5D4-E5A0EDFF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20248"/>
        <c:axId val="205518488"/>
      </c:lineChart>
      <c:catAx>
        <c:axId val="20582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18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18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2857148856392950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820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"/>
          <c:y val="0.89714445694288203"/>
          <c:w val="0.78249999999999997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Gas Station Traffic</a:t>
            </a:r>
          </a:p>
        </c:rich>
      </c:tx>
      <c:layout>
        <c:manualLayout>
          <c:xMode val="edge"/>
          <c:yMode val="edge"/>
          <c:x val="0.35875000000000001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3715301030987262"/>
          <c:w val="0.88249999999999995"/>
          <c:h val="0.65798722667647747"/>
        </c:manualLayout>
      </c:layout>
      <c:lineChart>
        <c:grouping val="standard"/>
        <c:varyColors val="0"/>
        <c:ser>
          <c:idx val="3"/>
          <c:order val="0"/>
          <c:tx>
            <c:strRef>
              <c:f>'&lt;945 - Gas Station (WisDOT)&gt;'!$F$80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(WisDOT)&gt;'!$J$65:$J$76</c:f>
              <c:numCache>
                <c:formatCode>0.00%</c:formatCode>
                <c:ptCount val="12"/>
                <c:pt idx="0">
                  <c:v>7.3409573803274591E-2</c:v>
                </c:pt>
                <c:pt idx="1">
                  <c:v>6.8163354580677418E-2</c:v>
                </c:pt>
                <c:pt idx="2">
                  <c:v>6.4660667416572934E-2</c:v>
                </c:pt>
                <c:pt idx="3">
                  <c:v>5.9884701912260967E-2</c:v>
                </c:pt>
                <c:pt idx="4">
                  <c:v>3.823428321459818E-2</c:v>
                </c:pt>
                <c:pt idx="5">
                  <c:v>4.7854955630546182E-2</c:v>
                </c:pt>
                <c:pt idx="6">
                  <c:v>8.02196600424947E-2</c:v>
                </c:pt>
                <c:pt idx="7">
                  <c:v>6.5019997500312468E-2</c:v>
                </c:pt>
                <c:pt idx="8">
                  <c:v>8.9301337332833394E-2</c:v>
                </c:pt>
                <c:pt idx="9">
                  <c:v>7.6938820147481574E-2</c:v>
                </c:pt>
                <c:pt idx="10">
                  <c:v>5.609142607174103E-2</c:v>
                </c:pt>
                <c:pt idx="11">
                  <c:v>5.9483189601299835E-2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5-4E3A-B6B0-DABD6223F7B2}"/>
            </c:ext>
          </c:extLst>
        </c:ser>
        <c:ser>
          <c:idx val="0"/>
          <c:order val="1"/>
          <c:tx>
            <c:strRef>
              <c:f>'&lt;945 - Gas Station (WisDOT)&gt;'!$F$22</c:f>
              <c:strCache>
                <c:ptCount val="1"/>
                <c:pt idx="0">
                  <c:v>WIS 33 / Mobil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(WisDOT)&gt;'!$J$7:$J$18</c:f>
              <c:numCache>
                <c:formatCode>0.00%</c:formatCode>
                <c:ptCount val="12"/>
                <c:pt idx="0">
                  <c:v>8.9676290463692035E-2</c:v>
                </c:pt>
                <c:pt idx="1">
                  <c:v>0.10061242344706912</c:v>
                </c:pt>
                <c:pt idx="2">
                  <c:v>7.217847769028872E-2</c:v>
                </c:pt>
                <c:pt idx="3">
                  <c:v>5.905511811023622E-2</c:v>
                </c:pt>
                <c:pt idx="4">
                  <c:v>3.7182852143482069E-2</c:v>
                </c:pt>
                <c:pt idx="5">
                  <c:v>3.4995625546806651E-2</c:v>
                </c:pt>
                <c:pt idx="6">
                  <c:v>5.6867891513560809E-2</c:v>
                </c:pt>
                <c:pt idx="7">
                  <c:v>3.7182852143482069E-2</c:v>
                </c:pt>
                <c:pt idx="8">
                  <c:v>0.10717410323709536</c:v>
                </c:pt>
                <c:pt idx="9">
                  <c:v>5.0306211723534562E-2</c:v>
                </c:pt>
                <c:pt idx="10">
                  <c:v>3.7182852143482069E-2</c:v>
                </c:pt>
                <c:pt idx="11">
                  <c:v>5.4680664916885391E-2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5-4E3A-B6B0-DABD6223F7B2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(WisDOT)&gt;'!$D$7:$D$18</c:f>
              <c:numCache>
                <c:formatCode>0.0%</c:formatCode>
                <c:ptCount val="12"/>
                <c:pt idx="0">
                  <c:v>7.2999999999999995E-2</c:v>
                </c:pt>
                <c:pt idx="1">
                  <c:v>6.8000000000000005E-2</c:v>
                </c:pt>
                <c:pt idx="2">
                  <c:v>6.5000000000000002E-2</c:v>
                </c:pt>
                <c:pt idx="3">
                  <c:v>0.06</c:v>
                </c:pt>
                <c:pt idx="4">
                  <c:v>3.7999999999999999E-2</c:v>
                </c:pt>
                <c:pt idx="5">
                  <c:v>4.8000000000000001E-2</c:v>
                </c:pt>
                <c:pt idx="6">
                  <c:v>0.08</c:v>
                </c:pt>
                <c:pt idx="7">
                  <c:v>6.5000000000000002E-2</c:v>
                </c:pt>
                <c:pt idx="8">
                  <c:v>8.8999999999999996E-2</c:v>
                </c:pt>
                <c:pt idx="9">
                  <c:v>7.6999999999999999E-2</c:v>
                </c:pt>
                <c:pt idx="10">
                  <c:v>5.6000000000000001E-2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55-4E3A-B6B0-DABD6223F7B2}"/>
            </c:ext>
          </c:extLst>
        </c:ser>
        <c:ser>
          <c:idx val="1"/>
          <c:order val="3"/>
          <c:tx>
            <c:strRef>
              <c:f>'&lt;945 - Gas Station (WisDOT)&gt;'!$F$40</c:f>
              <c:strCache>
                <c:ptCount val="1"/>
                <c:pt idx="0">
                  <c:v>WIS 100/95th St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'&lt;945 - Gas Station (WisDOT)&gt;'!$J$28:$J$39</c:f>
              <c:numCache>
                <c:formatCode>0.00%</c:formatCode>
                <c:ptCount val="12"/>
                <c:pt idx="0">
                  <c:v>5.7142857142857141E-2</c:v>
                </c:pt>
                <c:pt idx="1">
                  <c:v>3.5714285714285712E-2</c:v>
                </c:pt>
                <c:pt idx="2">
                  <c:v>5.7142857142857141E-2</c:v>
                </c:pt>
                <c:pt idx="3">
                  <c:v>6.0714285714285714E-2</c:v>
                </c:pt>
                <c:pt idx="4">
                  <c:v>3.9285714285714285E-2</c:v>
                </c:pt>
                <c:pt idx="5">
                  <c:v>6.0714285714285714E-2</c:v>
                </c:pt>
                <c:pt idx="6">
                  <c:v>0.10357142857142858</c:v>
                </c:pt>
                <c:pt idx="7">
                  <c:v>9.285714285714286E-2</c:v>
                </c:pt>
                <c:pt idx="8">
                  <c:v>7.1428571428571425E-2</c:v>
                </c:pt>
                <c:pt idx="9">
                  <c:v>0.10357142857142858</c:v>
                </c:pt>
                <c:pt idx="10">
                  <c:v>7.4999999999999997E-2</c:v>
                </c:pt>
                <c:pt idx="11">
                  <c:v>6.4285714285714279E-2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5-4E3A-B6B0-DABD6223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32224"/>
        <c:axId val="210132616"/>
      </c:lineChart>
      <c:catAx>
        <c:axId val="21013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819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2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2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246533245844269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50000000000001"/>
          <c:y val="0.94444608486439197"/>
          <c:w val="0.75749999999999995"/>
          <c:h val="4.3402777777777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Gas Station Traffic</a:t>
            </a:r>
          </a:p>
        </c:rich>
      </c:tx>
      <c:layout>
        <c:manualLayout>
          <c:xMode val="edge"/>
          <c:yMode val="edge"/>
          <c:x val="0.3655781532333584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'&lt;945 - Gas Station (WisDOT)&gt;'!$F$80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(WisDOT)&gt;'!$H$65:$H$76</c:f>
              <c:numCache>
                <c:formatCode>0.00%</c:formatCode>
                <c:ptCount val="12"/>
                <c:pt idx="0">
                  <c:v>4.2863408521303256E-2</c:v>
                </c:pt>
                <c:pt idx="1">
                  <c:v>7.9291979949874691E-2</c:v>
                </c:pt>
                <c:pt idx="2">
                  <c:v>5.7462406015037597E-2</c:v>
                </c:pt>
                <c:pt idx="3">
                  <c:v>5.9661654135338346E-2</c:v>
                </c:pt>
                <c:pt idx="4">
                  <c:v>4.463032581453634E-2</c:v>
                </c:pt>
                <c:pt idx="5">
                  <c:v>6.6228070175438594E-2</c:v>
                </c:pt>
                <c:pt idx="6">
                  <c:v>6.9329573934837088E-2</c:v>
                </c:pt>
                <c:pt idx="7">
                  <c:v>4.7631578947368421E-2</c:v>
                </c:pt>
                <c:pt idx="8">
                  <c:v>6.8195488721804517E-2</c:v>
                </c:pt>
                <c:pt idx="9">
                  <c:v>7.8928571428571431E-2</c:v>
                </c:pt>
                <c:pt idx="10">
                  <c:v>7.1560150375939852E-2</c:v>
                </c:pt>
                <c:pt idx="11">
                  <c:v>7.1027568922305773E-2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3-4B7E-AE5C-A37F5111C6C5}"/>
            </c:ext>
          </c:extLst>
        </c:ser>
        <c:ser>
          <c:idx val="0"/>
          <c:order val="1"/>
          <c:tx>
            <c:strRef>
              <c:f>'&lt;945 - Gas Station (WisDOT)&gt;'!$F$22</c:f>
              <c:strCache>
                <c:ptCount val="1"/>
                <c:pt idx="0">
                  <c:v>WIS 33 / Mobil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(WisDOT)&gt;'!$H$7:$H$18</c:f>
              <c:numCache>
                <c:formatCode>0.00%</c:formatCode>
                <c:ptCount val="12"/>
                <c:pt idx="0">
                  <c:v>4.0726817042606521E-2</c:v>
                </c:pt>
                <c:pt idx="1">
                  <c:v>0.10025062656641605</c:v>
                </c:pt>
                <c:pt idx="2">
                  <c:v>5.3258145363408525E-2</c:v>
                </c:pt>
                <c:pt idx="3">
                  <c:v>6.2656641604010022E-2</c:v>
                </c:pt>
                <c:pt idx="4">
                  <c:v>3.7593984962406013E-2</c:v>
                </c:pt>
                <c:pt idx="5">
                  <c:v>6.5789473684210523E-2</c:v>
                </c:pt>
                <c:pt idx="6">
                  <c:v>4.6992481203007523E-2</c:v>
                </c:pt>
                <c:pt idx="7">
                  <c:v>2.1929824561403511E-2</c:v>
                </c:pt>
                <c:pt idx="8">
                  <c:v>5.6390977443609026E-2</c:v>
                </c:pt>
                <c:pt idx="9">
                  <c:v>5.9523809523809527E-2</c:v>
                </c:pt>
                <c:pt idx="10">
                  <c:v>8.1453634085213042E-2</c:v>
                </c:pt>
                <c:pt idx="11">
                  <c:v>7.2055137844611525E-2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3-4B7E-AE5C-A37F5111C6C5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(WisDOT)&gt;'!$C$7:$C$18</c:f>
              <c:numCache>
                <c:formatCode>0.0%</c:formatCode>
                <c:ptCount val="12"/>
                <c:pt idx="0">
                  <c:v>4.2999999999999997E-2</c:v>
                </c:pt>
                <c:pt idx="1">
                  <c:v>7.9000000000000001E-2</c:v>
                </c:pt>
                <c:pt idx="2">
                  <c:v>5.8000000000000003E-2</c:v>
                </c:pt>
                <c:pt idx="3">
                  <c:v>0.06</c:v>
                </c:pt>
                <c:pt idx="4">
                  <c:v>4.4999999999999998E-2</c:v>
                </c:pt>
                <c:pt idx="5">
                  <c:v>6.6000000000000003E-2</c:v>
                </c:pt>
                <c:pt idx="6">
                  <c:v>6.9000000000000006E-2</c:v>
                </c:pt>
                <c:pt idx="7">
                  <c:v>4.8000000000000001E-2</c:v>
                </c:pt>
                <c:pt idx="8">
                  <c:v>6.8000000000000005E-2</c:v>
                </c:pt>
                <c:pt idx="9">
                  <c:v>7.9000000000000001E-2</c:v>
                </c:pt>
                <c:pt idx="10">
                  <c:v>7.1999999999999995E-2</c:v>
                </c:pt>
                <c:pt idx="11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43-4B7E-AE5C-A37F5111C6C5}"/>
            </c:ext>
          </c:extLst>
        </c:ser>
        <c:ser>
          <c:idx val="1"/>
          <c:order val="3"/>
          <c:tx>
            <c:strRef>
              <c:f>'&lt;945 - Gas Station (WisDOT)&gt;'!$F$40</c:f>
              <c:strCache>
                <c:ptCount val="1"/>
                <c:pt idx="0">
                  <c:v>WIS 100/95th St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'&lt;945 - Gas Station (WisDOT)&gt;'!$H$28:$H$39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5.8333333333333334E-2</c:v>
                </c:pt>
                <c:pt idx="2">
                  <c:v>6.1666666666666668E-2</c:v>
                </c:pt>
                <c:pt idx="3">
                  <c:v>5.6666666666666664E-2</c:v>
                </c:pt>
                <c:pt idx="4">
                  <c:v>5.1666666666666666E-2</c:v>
                </c:pt>
                <c:pt idx="5">
                  <c:v>6.6666666666666666E-2</c:v>
                </c:pt>
                <c:pt idx="6">
                  <c:v>9.166666666666666E-2</c:v>
                </c:pt>
                <c:pt idx="7">
                  <c:v>7.3333333333333334E-2</c:v>
                </c:pt>
                <c:pt idx="8">
                  <c:v>0.08</c:v>
                </c:pt>
                <c:pt idx="9">
                  <c:v>9.8333333333333328E-2</c:v>
                </c:pt>
                <c:pt idx="10">
                  <c:v>6.1666666666666668E-2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43-4B7E-AE5C-A37F5111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33400"/>
        <c:axId val="210133792"/>
      </c:lineChart>
      <c:catAx>
        <c:axId val="21013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3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80415199356363"/>
          <c:y val="0.93415832280224231"/>
          <c:w val="0.76130706023556094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Medical Traffic</a:t>
            </a:r>
          </a:p>
        </c:rich>
      </c:tx>
      <c:layout>
        <c:manualLayout>
          <c:xMode val="edge"/>
          <c:yMode val="edge"/>
          <c:x val="0.3809529364385007"/>
          <c:y val="3.35917312661498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69959167750658E-2"/>
          <c:y val="0.16537509431296005"/>
          <c:w val="0.89021279014342314"/>
          <c:h val="0.56589290085216015"/>
        </c:manualLayout>
      </c:layout>
      <c:lineChart>
        <c:grouping val="standard"/>
        <c:varyColors val="0"/>
        <c:ser>
          <c:idx val="5"/>
          <c:order val="0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'Medical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'Medical (WisDOT)'!$D$7:$D$18</c:f>
              <c:numCache>
                <c:formatCode>0.0%</c:formatCode>
                <c:ptCount val="12"/>
                <c:pt idx="0">
                  <c:v>0.02</c:v>
                </c:pt>
                <c:pt idx="1">
                  <c:v>0.04</c:v>
                </c:pt>
                <c:pt idx="2">
                  <c:v>0.03</c:v>
                </c:pt>
                <c:pt idx="3">
                  <c:v>0.04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0.09</c:v>
                </c:pt>
                <c:pt idx="8">
                  <c:v>0.09</c:v>
                </c:pt>
                <c:pt idx="9">
                  <c:v>9.5000000000000001E-2</c:v>
                </c:pt>
                <c:pt idx="10">
                  <c:v>0.10001091540082796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B-48BC-BB11-C3FE087D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9472"/>
        <c:axId val="209719864"/>
      </c:lineChart>
      <c:catAx>
        <c:axId val="20971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074143509839052"/>
              <c:y val="0.83979545192509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1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19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164021164021163E-2"/>
              <c:y val="0.2842385399499481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19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105875654432082"/>
          <c:y val="0.92506704103847481"/>
          <c:w val="0.16931244705522919"/>
          <c:h val="5.68478165035571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Medical Traffic</a:t>
            </a:r>
          </a:p>
        </c:rich>
      </c:tx>
      <c:layout>
        <c:manualLayout>
          <c:xMode val="edge"/>
          <c:yMode val="edge"/>
          <c:x val="0.39594594594594595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43243243243248E-2"/>
          <c:y val="0.16844919786096257"/>
          <c:w val="0.88783783783783787"/>
          <c:h val="0.553475935828877"/>
        </c:manualLayout>
      </c:layout>
      <c:lineChart>
        <c:grouping val="standard"/>
        <c:varyColors val="0"/>
        <c:ser>
          <c:idx val="5"/>
          <c:order val="0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'Medical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'Medical (WisDOT)'!$C$7:$C$18</c:f>
              <c:numCache>
                <c:formatCode>0.0%</c:formatCode>
                <c:ptCount val="12"/>
                <c:pt idx="0">
                  <c:v>0.03</c:v>
                </c:pt>
                <c:pt idx="1">
                  <c:v>0.1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8.5000000000000006E-2</c:v>
                </c:pt>
                <c:pt idx="5">
                  <c:v>0.11</c:v>
                </c:pt>
                <c:pt idx="6">
                  <c:v>0.09</c:v>
                </c:pt>
                <c:pt idx="7">
                  <c:v>0.11</c:v>
                </c:pt>
                <c:pt idx="8">
                  <c:v>7.0000000000000007E-2</c:v>
                </c:pt>
                <c:pt idx="9">
                  <c:v>3.8047650107081249E-2</c:v>
                </c:pt>
                <c:pt idx="10">
                  <c:v>0.03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1-424B-9AAD-B5D72DEE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20648"/>
        <c:axId val="209721040"/>
      </c:lineChart>
      <c:catAx>
        <c:axId val="209720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054054054054053"/>
              <c:y val="0.83422459893048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2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621621621621623E-2"/>
              <c:y val="0.2754010695187165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0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"/>
          <c:y val="0.92245989304812837"/>
          <c:w val="0.17297297297297293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Blended Restaurant Daily Distribution</a:t>
            </a:r>
          </a:p>
        </c:rich>
      </c:tx>
      <c:layout>
        <c:manualLayout>
          <c:xMode val="edge"/>
          <c:yMode val="edge"/>
          <c:x val="0.28867673837421037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6639934459627"/>
          <c:y val="0.16176509307285222"/>
          <c:w val="0.84210657475231565"/>
          <c:h val="0.6225505097046131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'Restaurants (WisDOT)'!$A$4:$A$27</c:f>
              <c:strCache>
                <c:ptCount val="24"/>
                <c:pt idx="0">
                  <c:v>mid-1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</c:v>
                </c:pt>
                <c:pt idx="13">
                  <c:v>1-2</c:v>
                </c:pt>
                <c:pt idx="14">
                  <c:v>2-3</c:v>
                </c:pt>
                <c:pt idx="15">
                  <c:v>3-4</c:v>
                </c:pt>
                <c:pt idx="16">
                  <c:v>4-5</c:v>
                </c:pt>
                <c:pt idx="17">
                  <c:v>5-6</c:v>
                </c:pt>
                <c:pt idx="18">
                  <c:v>6-7</c:v>
                </c:pt>
                <c:pt idx="19">
                  <c:v>7-8</c:v>
                </c:pt>
                <c:pt idx="20">
                  <c:v>8-9</c:v>
                </c:pt>
                <c:pt idx="21">
                  <c:v>9-10</c:v>
                </c:pt>
                <c:pt idx="22">
                  <c:v>10-11</c:v>
                </c:pt>
                <c:pt idx="23">
                  <c:v>11-mid</c:v>
                </c:pt>
              </c:strCache>
            </c:strRef>
          </c:cat>
          <c:val>
            <c:numRef>
              <c:f>'Restaurants (WisDOT)'!$B$4:$B$27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8.3333333333333332E-3</c:v>
                </c:pt>
                <c:pt idx="6">
                  <c:v>3.6666666666666667E-2</c:v>
                </c:pt>
                <c:pt idx="7">
                  <c:v>6.8885789302992162E-2</c:v>
                </c:pt>
                <c:pt idx="8">
                  <c:v>6.8803250753702971E-2</c:v>
                </c:pt>
                <c:pt idx="9">
                  <c:v>0.03</c:v>
                </c:pt>
                <c:pt idx="10">
                  <c:v>4.4999999999999998E-2</c:v>
                </c:pt>
                <c:pt idx="11">
                  <c:v>7.7466864865053012E-2</c:v>
                </c:pt>
                <c:pt idx="12">
                  <c:v>0.1139823338188099</c:v>
                </c:pt>
                <c:pt idx="13">
                  <c:v>6.6333333333333341E-2</c:v>
                </c:pt>
                <c:pt idx="14">
                  <c:v>3.3333333333333333E-2</c:v>
                </c:pt>
                <c:pt idx="15">
                  <c:v>3.3333333333333333E-2</c:v>
                </c:pt>
                <c:pt idx="16">
                  <c:v>5.1666666666666673E-2</c:v>
                </c:pt>
                <c:pt idx="17">
                  <c:v>7.96577051215656E-2</c:v>
                </c:pt>
                <c:pt idx="18">
                  <c:v>8.5092644061515704E-2</c:v>
                </c:pt>
                <c:pt idx="19">
                  <c:v>7.6666666666666661E-2</c:v>
                </c:pt>
                <c:pt idx="20">
                  <c:v>5.7999999999999996E-2</c:v>
                </c:pt>
                <c:pt idx="21">
                  <c:v>0.04</c:v>
                </c:pt>
                <c:pt idx="22">
                  <c:v>2.0333333333333335E-2</c:v>
                </c:pt>
                <c:pt idx="23">
                  <c:v>6.6666666666666671E-3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2-4C73-B2E4-ED3E1262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22608"/>
        <c:axId val="209723000"/>
      </c:lineChart>
      <c:catAx>
        <c:axId val="20972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50079828538179139"/>
              <c:y val="0.909315784056404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3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23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5518341307814992E-2"/>
              <c:y val="0.3112752817662498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Aldi Traffic</a:t>
            </a:r>
          </a:p>
        </c:rich>
      </c:tx>
      <c:layout>
        <c:manualLayout>
          <c:xMode val="edge"/>
          <c:yMode val="edge"/>
          <c:x val="0.39500000000000002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9714415391397677"/>
        </c:manualLayout>
      </c:layout>
      <c:lineChart>
        <c:grouping val="standard"/>
        <c:varyColors val="0"/>
        <c:ser>
          <c:idx val="3"/>
          <c:order val="0"/>
          <c:tx>
            <c:strRef>
              <c:f>'&lt;Aldi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(WisDOT)&gt;'!$J$62:$J$73</c:f>
              <c:numCache>
                <c:formatCode>0.00%</c:formatCode>
                <c:ptCount val="12"/>
                <c:pt idx="0">
                  <c:v>2.4271844660194173E-3</c:v>
                </c:pt>
                <c:pt idx="1">
                  <c:v>9.7087378640776691E-3</c:v>
                </c:pt>
                <c:pt idx="2">
                  <c:v>1.6990291262135922E-2</c:v>
                </c:pt>
                <c:pt idx="3">
                  <c:v>2.6699029126213591E-2</c:v>
                </c:pt>
                <c:pt idx="4">
                  <c:v>5.8252427184466021E-2</c:v>
                </c:pt>
                <c:pt idx="5">
                  <c:v>0.10194174757281553</c:v>
                </c:pt>
                <c:pt idx="6">
                  <c:v>8.7378640776699032E-2</c:v>
                </c:pt>
                <c:pt idx="7">
                  <c:v>0.11893203883495146</c:v>
                </c:pt>
                <c:pt idx="8">
                  <c:v>0.10436893203883495</c:v>
                </c:pt>
                <c:pt idx="9">
                  <c:v>8.0097087378640783E-2</c:v>
                </c:pt>
                <c:pt idx="10">
                  <c:v>0.11407766990291263</c:v>
                </c:pt>
                <c:pt idx="11">
                  <c:v>0.10679611650485436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B-4D6C-8E45-C0C691E206B6}"/>
            </c:ext>
          </c:extLst>
        </c:ser>
        <c:ser>
          <c:idx val="0"/>
          <c:order val="1"/>
          <c:tx>
            <c:strRef>
              <c:f>'&lt;Aldi (WisDOT)&gt;'!$F$19</c:f>
              <c:strCache>
                <c:ptCount val="1"/>
                <c:pt idx="0">
                  <c:v>WIS 50 / 64th Ave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(WisDOT)&gt;'!$J$7:$J$18</c:f>
              <c:numCache>
                <c:formatCode>0.00%</c:formatCode>
                <c:ptCount val="12"/>
                <c:pt idx="0">
                  <c:v>2.4271844660194173E-3</c:v>
                </c:pt>
                <c:pt idx="1">
                  <c:v>9.7087378640776691E-3</c:v>
                </c:pt>
                <c:pt idx="2">
                  <c:v>1.6990291262135922E-2</c:v>
                </c:pt>
                <c:pt idx="3">
                  <c:v>2.6699029126213591E-2</c:v>
                </c:pt>
                <c:pt idx="4">
                  <c:v>5.8252427184466021E-2</c:v>
                </c:pt>
                <c:pt idx="5">
                  <c:v>0.10194174757281553</c:v>
                </c:pt>
                <c:pt idx="6">
                  <c:v>8.7378640776699032E-2</c:v>
                </c:pt>
                <c:pt idx="7">
                  <c:v>0.11893203883495146</c:v>
                </c:pt>
                <c:pt idx="8">
                  <c:v>0.10436893203883495</c:v>
                </c:pt>
                <c:pt idx="9">
                  <c:v>8.0097087378640783E-2</c:v>
                </c:pt>
                <c:pt idx="10">
                  <c:v>0.11407766990291263</c:v>
                </c:pt>
                <c:pt idx="11">
                  <c:v>0.10679611650485436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B-4D6C-8E45-C0C691E206B6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(WisDOT)&gt;'!$D$7:$D$18</c:f>
              <c:numCache>
                <c:formatCode>0.0%</c:formatCode>
                <c:ptCount val="12"/>
                <c:pt idx="0">
                  <c:v>2E-3</c:v>
                </c:pt>
                <c:pt idx="1">
                  <c:v>0.01</c:v>
                </c:pt>
                <c:pt idx="2">
                  <c:v>1.7000000000000001E-2</c:v>
                </c:pt>
                <c:pt idx="3">
                  <c:v>2.7E-2</c:v>
                </c:pt>
                <c:pt idx="4">
                  <c:v>5.8000000000000003E-2</c:v>
                </c:pt>
                <c:pt idx="5">
                  <c:v>0.10199999999999999</c:v>
                </c:pt>
                <c:pt idx="6">
                  <c:v>8.6999999999999994E-2</c:v>
                </c:pt>
                <c:pt idx="7">
                  <c:v>0.11899999999999999</c:v>
                </c:pt>
                <c:pt idx="8">
                  <c:v>0.104</c:v>
                </c:pt>
                <c:pt idx="9">
                  <c:v>0.08</c:v>
                </c:pt>
                <c:pt idx="10">
                  <c:v>0.114</c:v>
                </c:pt>
                <c:pt idx="11">
                  <c:v>0.107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B-4D6C-8E45-C0C691E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37936"/>
        <c:axId val="211238328"/>
      </c:lineChart>
      <c:catAx>
        <c:axId val="21123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38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40952980877390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50000000000001"/>
          <c:y val="0.93904941882264714"/>
          <c:w val="0.55625000000000013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Aldi Traffic</a:t>
            </a:r>
          </a:p>
        </c:rich>
      </c:tx>
      <c:layout>
        <c:manualLayout>
          <c:xMode val="edge"/>
          <c:yMode val="edge"/>
          <c:x val="0.4032665954444136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7695609277764268"/>
        </c:manualLayout>
      </c:layout>
      <c:lineChart>
        <c:grouping val="standard"/>
        <c:varyColors val="0"/>
        <c:ser>
          <c:idx val="3"/>
          <c:order val="0"/>
          <c:tx>
            <c:strRef>
              <c:f>'&lt;Aldi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(WisDOT)&gt;'!$H$62:$H$73</c:f>
              <c:numCache>
                <c:formatCode>0.00%</c:formatCode>
                <c:ptCount val="12"/>
                <c:pt idx="0">
                  <c:v>6.7294751009421266E-3</c:v>
                </c:pt>
                <c:pt idx="1">
                  <c:v>1.0767160161507403E-2</c:v>
                </c:pt>
                <c:pt idx="2">
                  <c:v>3.095558546433378E-2</c:v>
                </c:pt>
                <c:pt idx="3">
                  <c:v>7.4024226110363398E-2</c:v>
                </c:pt>
                <c:pt idx="4">
                  <c:v>9.6904441453566623E-2</c:v>
                </c:pt>
                <c:pt idx="5">
                  <c:v>9.8250336473755043E-2</c:v>
                </c:pt>
                <c:pt idx="6">
                  <c:v>9.0174966352624494E-2</c:v>
                </c:pt>
                <c:pt idx="7">
                  <c:v>0.10363391655450875</c:v>
                </c:pt>
                <c:pt idx="8">
                  <c:v>7.4024226110363398E-2</c:v>
                </c:pt>
                <c:pt idx="9">
                  <c:v>8.47913862718708E-2</c:v>
                </c:pt>
                <c:pt idx="10">
                  <c:v>8.2099596231493946E-2</c:v>
                </c:pt>
                <c:pt idx="11">
                  <c:v>5.652759084791386E-2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B-4565-B08F-E2E44D826B1A}"/>
            </c:ext>
          </c:extLst>
        </c:ser>
        <c:ser>
          <c:idx val="0"/>
          <c:order val="1"/>
          <c:tx>
            <c:strRef>
              <c:f>'&lt;Aldi (WisDOT)&gt;'!$F$19</c:f>
              <c:strCache>
                <c:ptCount val="1"/>
                <c:pt idx="0">
                  <c:v>WIS 50 / 64th Ave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(WisDOT)&gt;'!$H$7:$H$18</c:f>
              <c:numCache>
                <c:formatCode>0.00%</c:formatCode>
                <c:ptCount val="12"/>
                <c:pt idx="0">
                  <c:v>6.7294751009421266E-3</c:v>
                </c:pt>
                <c:pt idx="1">
                  <c:v>1.0767160161507403E-2</c:v>
                </c:pt>
                <c:pt idx="2">
                  <c:v>3.095558546433378E-2</c:v>
                </c:pt>
                <c:pt idx="3">
                  <c:v>7.4024226110363398E-2</c:v>
                </c:pt>
                <c:pt idx="4">
                  <c:v>9.6904441453566623E-2</c:v>
                </c:pt>
                <c:pt idx="5">
                  <c:v>9.8250336473755043E-2</c:v>
                </c:pt>
                <c:pt idx="6">
                  <c:v>9.0174966352624494E-2</c:v>
                </c:pt>
                <c:pt idx="7">
                  <c:v>0.10363391655450875</c:v>
                </c:pt>
                <c:pt idx="8">
                  <c:v>7.4024226110363398E-2</c:v>
                </c:pt>
                <c:pt idx="9">
                  <c:v>8.47913862718708E-2</c:v>
                </c:pt>
                <c:pt idx="10">
                  <c:v>8.2099596231493946E-2</c:v>
                </c:pt>
                <c:pt idx="11">
                  <c:v>5.652759084791386E-2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B-4565-B08F-E2E44D826B1A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(WisDOT)&gt;'!$C$7:$C$18</c:f>
              <c:numCache>
                <c:formatCode>0.0%</c:formatCode>
                <c:ptCount val="12"/>
                <c:pt idx="0">
                  <c:v>7.0000000000000001E-3</c:v>
                </c:pt>
                <c:pt idx="1">
                  <c:v>1.0999999999999999E-2</c:v>
                </c:pt>
                <c:pt idx="2">
                  <c:v>3.1E-2</c:v>
                </c:pt>
                <c:pt idx="3">
                  <c:v>7.3999999999999996E-2</c:v>
                </c:pt>
                <c:pt idx="4">
                  <c:v>9.7000000000000003E-2</c:v>
                </c:pt>
                <c:pt idx="5">
                  <c:v>9.8000000000000004E-2</c:v>
                </c:pt>
                <c:pt idx="6">
                  <c:v>0.09</c:v>
                </c:pt>
                <c:pt idx="7">
                  <c:v>0.104</c:v>
                </c:pt>
                <c:pt idx="8">
                  <c:v>7.3999999999999996E-2</c:v>
                </c:pt>
                <c:pt idx="9">
                  <c:v>8.5000000000000006E-2</c:v>
                </c:pt>
                <c:pt idx="10">
                  <c:v>8.2000000000000003E-2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B-4565-B08F-E2E44D82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39112"/>
        <c:axId val="211239504"/>
      </c:lineChart>
      <c:catAx>
        <c:axId val="21123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3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2510352872557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9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30666455637769"/>
          <c:y val="0.93415832280224231"/>
          <c:w val="0.55904562180983652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Wal-Mart/Menards Traffic</a:t>
            </a:r>
          </a:p>
        </c:rich>
      </c:tx>
      <c:layout>
        <c:manualLayout>
          <c:xMode val="edge"/>
          <c:yMode val="edge"/>
          <c:x val="0.32874999999999999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857259779129049"/>
        </c:manualLayout>
      </c:layout>
      <c:lineChart>
        <c:grouping val="standard"/>
        <c:varyColors val="0"/>
        <c:ser>
          <c:idx val="3"/>
          <c:order val="0"/>
          <c:tx>
            <c:strRef>
              <c:f>'&lt;WalMart-Menards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'&lt;WalMart-Menards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'&lt;WalMart-Menards (WisDOT)&gt;'!$J$62:$J$73</c:f>
              <c:numCache>
                <c:formatCode>0.00%</c:formatCode>
                <c:ptCount val="12"/>
                <c:pt idx="0">
                  <c:v>1.6779305523188067E-2</c:v>
                </c:pt>
                <c:pt idx="1">
                  <c:v>2.7499417385224888E-2</c:v>
                </c:pt>
                <c:pt idx="2">
                  <c:v>2.3537636914472151E-2</c:v>
                </c:pt>
                <c:pt idx="3">
                  <c:v>3.4723840596597527E-2</c:v>
                </c:pt>
                <c:pt idx="4">
                  <c:v>7.2011186203682132E-2</c:v>
                </c:pt>
                <c:pt idx="5">
                  <c:v>7.4807737124213472E-2</c:v>
                </c:pt>
                <c:pt idx="6">
                  <c:v>9.0188767187135865E-2</c:v>
                </c:pt>
                <c:pt idx="7">
                  <c:v>8.0167793055231876E-2</c:v>
                </c:pt>
                <c:pt idx="8">
                  <c:v>7.7604288044744812E-2</c:v>
                </c:pt>
                <c:pt idx="9">
                  <c:v>6.6884176182707991E-2</c:v>
                </c:pt>
                <c:pt idx="10">
                  <c:v>6.9680727103239332E-2</c:v>
                </c:pt>
                <c:pt idx="11">
                  <c:v>5.616406432067117E-2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B-4B95-A08C-1B6F185C5C2E}"/>
            </c:ext>
          </c:extLst>
        </c:ser>
        <c:ser>
          <c:idx val="0"/>
          <c:order val="1"/>
          <c:tx>
            <c:strRef>
              <c:f>'&lt;WalMart-Menards (WisDOT)&gt;'!$F$19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(WisDOT)&gt;'!$J$7:$J$18</c:f>
              <c:numCache>
                <c:formatCode>0.00%</c:formatCode>
                <c:ptCount val="12"/>
                <c:pt idx="0">
                  <c:v>1.6779305523188067E-2</c:v>
                </c:pt>
                <c:pt idx="1">
                  <c:v>2.7499417385224888E-2</c:v>
                </c:pt>
                <c:pt idx="2">
                  <c:v>2.3537636914472151E-2</c:v>
                </c:pt>
                <c:pt idx="3">
                  <c:v>3.4723840596597527E-2</c:v>
                </c:pt>
                <c:pt idx="4">
                  <c:v>7.2011186203682132E-2</c:v>
                </c:pt>
                <c:pt idx="5">
                  <c:v>7.4807737124213472E-2</c:v>
                </c:pt>
                <c:pt idx="6">
                  <c:v>9.0188767187135865E-2</c:v>
                </c:pt>
                <c:pt idx="7">
                  <c:v>8.0167793055231876E-2</c:v>
                </c:pt>
                <c:pt idx="8">
                  <c:v>7.7604288044744812E-2</c:v>
                </c:pt>
                <c:pt idx="9">
                  <c:v>6.6884176182707991E-2</c:v>
                </c:pt>
                <c:pt idx="10">
                  <c:v>6.9680727103239332E-2</c:v>
                </c:pt>
                <c:pt idx="11">
                  <c:v>5.616406432067117E-2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B-4B95-A08C-1B6F185C5C2E}"/>
            </c:ext>
          </c:extLst>
        </c:ser>
        <c:ser>
          <c:idx val="1"/>
          <c:order val="2"/>
          <c:tx>
            <c:strRef>
              <c:f>'&lt;WalMart-Menards (WisDOT)&gt;'!$F$37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(WisDOT)&gt;'!$J$25:$J$36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B-4B95-A08C-1B6F185C5C2E}"/>
            </c:ext>
          </c:extLst>
        </c:ser>
        <c:ser>
          <c:idx val="2"/>
          <c:order val="3"/>
          <c:tx>
            <c:strRef>
              <c:f>'&lt;WalMart-Menards (WisDOT)&gt;'!$F$55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(WisDOT)&gt;'!$J$43:$J$54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B-4B95-A08C-1B6F185C5C2E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'&lt;WalMart-Menards (WisDOT)&gt;'!$D$7:$D$18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2.8000000000000001E-2</c:v>
                </c:pt>
                <c:pt idx="2">
                  <c:v>2.4E-2</c:v>
                </c:pt>
                <c:pt idx="3">
                  <c:v>3.5000000000000003E-2</c:v>
                </c:pt>
                <c:pt idx="4">
                  <c:v>7.1999999999999995E-2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0.08</c:v>
                </c:pt>
                <c:pt idx="8">
                  <c:v>7.8E-2</c:v>
                </c:pt>
                <c:pt idx="9">
                  <c:v>6.7000000000000004E-2</c:v>
                </c:pt>
                <c:pt idx="10">
                  <c:v>7.0000000000000007E-2</c:v>
                </c:pt>
                <c:pt idx="11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8B-4B95-A08C-1B6F185C5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40288"/>
        <c:axId val="211240680"/>
      </c:lineChart>
      <c:catAx>
        <c:axId val="2112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40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6667266591676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49999999999999"/>
          <c:y val="0.93904941882264714"/>
          <c:w val="0.66749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Wal-Mart/Menards Traffic</a:t>
            </a:r>
          </a:p>
        </c:rich>
      </c:tx>
      <c:layout>
        <c:manualLayout>
          <c:xMode val="edge"/>
          <c:yMode val="edge"/>
          <c:x val="0.33542739946451416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'&lt;WalMart-Menards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'&lt;WalMart-Menards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'&lt;WalMart-Menards (WisDOT)&gt;'!$H$62:$H$73</c:f>
              <c:numCache>
                <c:formatCode>0.00%</c:formatCode>
                <c:ptCount val="12"/>
                <c:pt idx="0">
                  <c:v>1.6477857878475798E-2</c:v>
                </c:pt>
                <c:pt idx="1">
                  <c:v>3.0895983522142123E-2</c:v>
                </c:pt>
                <c:pt idx="2">
                  <c:v>2.8321318228630279E-2</c:v>
                </c:pt>
                <c:pt idx="3">
                  <c:v>5.09783728115345E-2</c:v>
                </c:pt>
                <c:pt idx="4">
                  <c:v>6.436663233779609E-2</c:v>
                </c:pt>
                <c:pt idx="5">
                  <c:v>8.2389289392378995E-2</c:v>
                </c:pt>
                <c:pt idx="6">
                  <c:v>9.2945417095777555E-2</c:v>
                </c:pt>
                <c:pt idx="7">
                  <c:v>6.153450051493306E-2</c:v>
                </c:pt>
                <c:pt idx="8">
                  <c:v>6.7456230690010305E-2</c:v>
                </c:pt>
                <c:pt idx="9">
                  <c:v>6.6426364572605562E-2</c:v>
                </c:pt>
                <c:pt idx="10">
                  <c:v>7.4150360453141093E-2</c:v>
                </c:pt>
                <c:pt idx="11">
                  <c:v>5.4067971163748715E-2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8-4F21-940D-A079C8B95910}"/>
            </c:ext>
          </c:extLst>
        </c:ser>
        <c:ser>
          <c:idx val="0"/>
          <c:order val="1"/>
          <c:tx>
            <c:strRef>
              <c:f>'&lt;WalMart-Menards (WisDOT)&gt;'!$F$19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(WisDOT)&gt;'!$H$7:$H$18</c:f>
              <c:numCache>
                <c:formatCode>0.00%</c:formatCode>
                <c:ptCount val="12"/>
                <c:pt idx="0">
                  <c:v>1.6477857878475798E-2</c:v>
                </c:pt>
                <c:pt idx="1">
                  <c:v>3.0895983522142123E-2</c:v>
                </c:pt>
                <c:pt idx="2">
                  <c:v>2.8321318228630279E-2</c:v>
                </c:pt>
                <c:pt idx="3">
                  <c:v>5.09783728115345E-2</c:v>
                </c:pt>
                <c:pt idx="4">
                  <c:v>6.436663233779609E-2</c:v>
                </c:pt>
                <c:pt idx="5">
                  <c:v>8.2389289392378995E-2</c:v>
                </c:pt>
                <c:pt idx="6">
                  <c:v>9.2945417095777555E-2</c:v>
                </c:pt>
                <c:pt idx="7">
                  <c:v>6.153450051493306E-2</c:v>
                </c:pt>
                <c:pt idx="8">
                  <c:v>6.7456230690010305E-2</c:v>
                </c:pt>
                <c:pt idx="9">
                  <c:v>6.6426364572605562E-2</c:v>
                </c:pt>
                <c:pt idx="10">
                  <c:v>7.4150360453141093E-2</c:v>
                </c:pt>
                <c:pt idx="11">
                  <c:v>5.4067971163748715E-2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8-4F21-940D-A079C8B95910}"/>
            </c:ext>
          </c:extLst>
        </c:ser>
        <c:ser>
          <c:idx val="1"/>
          <c:order val="2"/>
          <c:tx>
            <c:strRef>
              <c:f>'&lt;WalMart-Menards (WisDOT)&gt;'!$F$37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(WisDOT)&gt;'!$H$25:$H$36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8-4F21-940D-A079C8B95910}"/>
            </c:ext>
          </c:extLst>
        </c:ser>
        <c:ser>
          <c:idx val="2"/>
          <c:order val="3"/>
          <c:tx>
            <c:strRef>
              <c:f>'&lt;WalMart-Menards (WisDOT)&gt;'!$F$55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(WisDOT)&gt;'!$H$43:$H$54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8-4F21-940D-A079C8B95910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'&lt;WalMart-Menards (WisDOT)&gt;'!$C$7:$C$18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3.1E-2</c:v>
                </c:pt>
                <c:pt idx="2">
                  <c:v>2.8000000000000001E-2</c:v>
                </c:pt>
                <c:pt idx="3">
                  <c:v>5.0999999999999997E-2</c:v>
                </c:pt>
                <c:pt idx="4">
                  <c:v>6.4000000000000001E-2</c:v>
                </c:pt>
                <c:pt idx="5">
                  <c:v>8.2000000000000003E-2</c:v>
                </c:pt>
                <c:pt idx="6">
                  <c:v>9.2999999999999999E-2</c:v>
                </c:pt>
                <c:pt idx="7">
                  <c:v>6.2E-2</c:v>
                </c:pt>
                <c:pt idx="8">
                  <c:v>6.8000000000000005E-2</c:v>
                </c:pt>
                <c:pt idx="9">
                  <c:v>6.6000000000000003E-2</c:v>
                </c:pt>
                <c:pt idx="10">
                  <c:v>7.3999999999999996E-2</c:v>
                </c:pt>
                <c:pt idx="11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48-4F21-940D-A079C8B9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41464"/>
        <c:axId val="211572856"/>
      </c:lineChart>
      <c:catAx>
        <c:axId val="211241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57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572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1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3028264682993"/>
          <c:y val="0.93415832280224231"/>
          <c:w val="0.67085466703596741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Manufacturing Traffic</a:t>
            </a:r>
          </a:p>
        </c:rich>
      </c:tx>
      <c:layout>
        <c:manualLayout>
          <c:xMode val="edge"/>
          <c:yMode val="edge"/>
          <c:x val="0.35175905775597144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55761428918766309"/>
        </c:manualLayout>
      </c:layout>
      <c:lineChart>
        <c:grouping val="standard"/>
        <c:varyColors val="0"/>
        <c:ser>
          <c:idx val="3"/>
          <c:order val="0"/>
          <c:tx>
            <c:strRef>
              <c:f>'140 - Manufacturing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'140 - Manufacturing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'140 - Manufacturing (WisDOT)'!$H$62:$H$73</c:f>
              <c:numCache>
                <c:formatCode>0.00%</c:formatCode>
                <c:ptCount val="12"/>
                <c:pt idx="0">
                  <c:v>7.6401364044547462E-2</c:v>
                </c:pt>
                <c:pt idx="1">
                  <c:v>0.11671965850881087</c:v>
                </c:pt>
                <c:pt idx="2">
                  <c:v>6.5523394466420706E-2</c:v>
                </c:pt>
                <c:pt idx="3">
                  <c:v>3.9659032457253461E-2</c:v>
                </c:pt>
                <c:pt idx="4">
                  <c:v>4.0334831799406112E-2</c:v>
                </c:pt>
                <c:pt idx="5">
                  <c:v>5.1626359679966073E-2</c:v>
                </c:pt>
                <c:pt idx="6">
                  <c:v>8.1535398908954601E-2</c:v>
                </c:pt>
                <c:pt idx="7">
                  <c:v>6.762502742294231E-2</c:v>
                </c:pt>
                <c:pt idx="8">
                  <c:v>8.5690741442611837E-2</c:v>
                </c:pt>
                <c:pt idx="9">
                  <c:v>3.1176245380660078E-2</c:v>
                </c:pt>
                <c:pt idx="10">
                  <c:v>3.2560078729949204E-2</c:v>
                </c:pt>
                <c:pt idx="11">
                  <c:v>2.2340953310041323E-2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6-4F89-9E57-9369EC9CD4B8}"/>
            </c:ext>
          </c:extLst>
        </c:ser>
        <c:ser>
          <c:idx val="0"/>
          <c:order val="1"/>
          <c:tx>
            <c:strRef>
              <c:f>'140 - Manufacturing (WisDOT)'!$F$19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(WisDOT)'!$H$7:$H$18</c:f>
              <c:numCache>
                <c:formatCode>0.00%</c:formatCode>
                <c:ptCount val="12"/>
                <c:pt idx="0">
                  <c:v>0.12163978494623656</c:v>
                </c:pt>
                <c:pt idx="1">
                  <c:v>0.13440860215053763</c:v>
                </c:pt>
                <c:pt idx="2">
                  <c:v>6.1827956989247312E-2</c:v>
                </c:pt>
                <c:pt idx="3">
                  <c:v>1.9489247311827957E-2</c:v>
                </c:pt>
                <c:pt idx="4">
                  <c:v>2.6881720430107527E-2</c:v>
                </c:pt>
                <c:pt idx="5">
                  <c:v>4.0994623655913977E-2</c:v>
                </c:pt>
                <c:pt idx="6">
                  <c:v>7.459677419354839E-2</c:v>
                </c:pt>
                <c:pt idx="7">
                  <c:v>5.9139784946236562E-2</c:v>
                </c:pt>
                <c:pt idx="8">
                  <c:v>5.3763440860215055E-2</c:v>
                </c:pt>
                <c:pt idx="9">
                  <c:v>2.889784946236559E-2</c:v>
                </c:pt>
                <c:pt idx="10">
                  <c:v>3.8978494623655914E-2</c:v>
                </c:pt>
                <c:pt idx="11">
                  <c:v>2.9569892473118281E-2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6-4F89-9E57-9369EC9CD4B8}"/>
            </c:ext>
          </c:extLst>
        </c:ser>
        <c:ser>
          <c:idx val="1"/>
          <c:order val="2"/>
          <c:tx>
            <c:strRef>
              <c:f>'140 - Manufacturing (WisDOT)'!$F$37</c:f>
              <c:strCache>
                <c:ptCount val="1"/>
                <c:pt idx="0">
                  <c:v>WIS 100 / Theo Trecker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(WisDOT)'!$H$25:$H$36</c:f>
              <c:numCache>
                <c:formatCode>0.00%</c:formatCode>
                <c:ptCount val="12"/>
                <c:pt idx="0">
                  <c:v>3.0959752321981424E-2</c:v>
                </c:pt>
                <c:pt idx="1">
                  <c:v>5.2189296771340113E-2</c:v>
                </c:pt>
                <c:pt idx="2">
                  <c:v>4.1574524546660767E-2</c:v>
                </c:pt>
                <c:pt idx="3">
                  <c:v>6.0150375939849621E-2</c:v>
                </c:pt>
                <c:pt idx="4">
                  <c:v>7.3418841220698805E-2</c:v>
                </c:pt>
                <c:pt idx="5">
                  <c:v>9.1110128261831042E-2</c:v>
                </c:pt>
                <c:pt idx="6">
                  <c:v>0.11410880141530297</c:v>
                </c:pt>
                <c:pt idx="7">
                  <c:v>9.8186643078283939E-2</c:v>
                </c:pt>
                <c:pt idx="8">
                  <c:v>5.83812472357364E-2</c:v>
                </c:pt>
                <c:pt idx="9">
                  <c:v>4.5997346306943833E-2</c:v>
                </c:pt>
                <c:pt idx="10">
                  <c:v>5.0420168067226892E-2</c:v>
                </c:pt>
                <c:pt idx="11">
                  <c:v>3.5382574082264487E-2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6-4F89-9E57-9369EC9CD4B8}"/>
            </c:ext>
          </c:extLst>
        </c:ser>
        <c:ser>
          <c:idx val="2"/>
          <c:order val="3"/>
          <c:tx>
            <c:strRef>
              <c:f>'140 - Manufacturing (WisDOT)'!$F$55</c:f>
              <c:strCache>
                <c:ptCount val="1"/>
                <c:pt idx="0">
                  <c:v>Pilgrim Rd / Anthony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(WisDOT)'!$H$43:$H$54</c:f>
              <c:numCache>
                <c:formatCode>0.00%</c:formatCode>
                <c:ptCount val="12"/>
                <c:pt idx="0">
                  <c:v>7.6604554865424432E-2</c:v>
                </c:pt>
                <c:pt idx="1">
                  <c:v>0.16356107660455488</c:v>
                </c:pt>
                <c:pt idx="2">
                  <c:v>9.3167701863354033E-2</c:v>
                </c:pt>
                <c:pt idx="3">
                  <c:v>3.9337474120082816E-2</c:v>
                </c:pt>
                <c:pt idx="4">
                  <c:v>2.0703933747412008E-2</c:v>
                </c:pt>
                <c:pt idx="5">
                  <c:v>2.2774327122153208E-2</c:v>
                </c:pt>
                <c:pt idx="6">
                  <c:v>5.5900621118012424E-2</c:v>
                </c:pt>
                <c:pt idx="7">
                  <c:v>4.5548654244306416E-2</c:v>
                </c:pt>
                <c:pt idx="8">
                  <c:v>0.14492753623188406</c:v>
                </c:pt>
                <c:pt idx="9">
                  <c:v>1.8633540372670808E-2</c:v>
                </c:pt>
                <c:pt idx="10">
                  <c:v>8.2815734989648039E-3</c:v>
                </c:pt>
                <c:pt idx="11">
                  <c:v>2.070393374741201E-3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D6-4F89-9E57-9369EC9CD4B8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'140 - Manufacturing (WisDOT)'!$C$7:$C$18</c:f>
              <c:numCache>
                <c:formatCode>0.0%</c:formatCode>
                <c:ptCount val="12"/>
                <c:pt idx="0">
                  <c:v>7.5999999999999998E-2</c:v>
                </c:pt>
                <c:pt idx="1">
                  <c:v>0.11700000000000001</c:v>
                </c:pt>
                <c:pt idx="2">
                  <c:v>6.6000000000000003E-2</c:v>
                </c:pt>
                <c:pt idx="3">
                  <c:v>0.04</c:v>
                </c:pt>
                <c:pt idx="4">
                  <c:v>0.04</c:v>
                </c:pt>
                <c:pt idx="5">
                  <c:v>5.1999999999999998E-2</c:v>
                </c:pt>
                <c:pt idx="6">
                  <c:v>8.2000000000000003E-2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3.1E-2</c:v>
                </c:pt>
                <c:pt idx="10">
                  <c:v>3.3000000000000002E-2</c:v>
                </c:pt>
                <c:pt idx="11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D6-4F89-9E57-9369EC9CD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348248"/>
        <c:axId val="205341632"/>
      </c:lineChart>
      <c:catAx>
        <c:axId val="205348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4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65432530810191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48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24133792321184"/>
          <c:y val="0.88889061706792816"/>
          <c:w val="0.78643268837626445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Residential Traffic</a:t>
            </a:r>
          </a:p>
        </c:rich>
      </c:tx>
      <c:layout>
        <c:manualLayout>
          <c:xMode val="edge"/>
          <c:yMode val="edge"/>
          <c:x val="0.36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09535359998809"/>
        </c:manualLayout>
      </c:layout>
      <c:lineChart>
        <c:grouping val="standard"/>
        <c:varyColors val="0"/>
        <c:ser>
          <c:idx val="3"/>
          <c:order val="0"/>
          <c:tx>
            <c:strRef>
              <c:f>'210 - Single Family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(WisDOT)'!$J$78:$J$89</c:f>
              <c:numCache>
                <c:formatCode>0.00%</c:formatCode>
                <c:ptCount val="12"/>
                <c:pt idx="0">
                  <c:v>7.6589664201996588E-2</c:v>
                </c:pt>
                <c:pt idx="1">
                  <c:v>0.12192147270805666</c:v>
                </c:pt>
                <c:pt idx="2">
                  <c:v>7.6713352767325355E-2</c:v>
                </c:pt>
                <c:pt idx="3">
                  <c:v>5.1231414827267834E-2</c:v>
                </c:pt>
                <c:pt idx="4">
                  <c:v>5.8289400716135843E-2</c:v>
                </c:pt>
                <c:pt idx="5">
                  <c:v>5.1542051489443318E-2</c:v>
                </c:pt>
                <c:pt idx="6">
                  <c:v>6.0503755687378778E-2</c:v>
                </c:pt>
                <c:pt idx="7">
                  <c:v>4.7260406252339286E-2</c:v>
                </c:pt>
                <c:pt idx="8">
                  <c:v>6.8451946555241699E-2</c:v>
                </c:pt>
                <c:pt idx="9">
                  <c:v>5.8046603467262058E-2</c:v>
                </c:pt>
                <c:pt idx="10">
                  <c:v>6.648933102870444E-2</c:v>
                </c:pt>
                <c:pt idx="11">
                  <c:v>6.768770594741419E-2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2-4D6F-9A61-299E255CC1E3}"/>
            </c:ext>
          </c:extLst>
        </c:ser>
        <c:ser>
          <c:idx val="0"/>
          <c:order val="1"/>
          <c:tx>
            <c:strRef>
              <c:f>'210 - Single Family (WisDOT)'!$F$19</c:f>
              <c:strCache>
                <c:ptCount val="1"/>
                <c:pt idx="0">
                  <c:v>USH 18 / Pebble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(WisDOT)'!$J$7:$J$18</c:f>
              <c:numCache>
                <c:formatCode>0.00%</c:formatCode>
                <c:ptCount val="12"/>
                <c:pt idx="0">
                  <c:v>9.8734177215189872E-2</c:v>
                </c:pt>
                <c:pt idx="1">
                  <c:v>0.16708860759493671</c:v>
                </c:pt>
                <c:pt idx="2">
                  <c:v>9.6202531645569619E-2</c:v>
                </c:pt>
                <c:pt idx="3">
                  <c:v>4.810126582278481E-2</c:v>
                </c:pt>
                <c:pt idx="4">
                  <c:v>4.0506329113924051E-2</c:v>
                </c:pt>
                <c:pt idx="5">
                  <c:v>3.7974683544303799E-2</c:v>
                </c:pt>
                <c:pt idx="6">
                  <c:v>2.7848101265822784E-2</c:v>
                </c:pt>
                <c:pt idx="7">
                  <c:v>3.5443037974683546E-2</c:v>
                </c:pt>
                <c:pt idx="8">
                  <c:v>6.5822784810126586E-2</c:v>
                </c:pt>
                <c:pt idx="9">
                  <c:v>5.8227848101265821E-2</c:v>
                </c:pt>
                <c:pt idx="10">
                  <c:v>5.8227848101265821E-2</c:v>
                </c:pt>
                <c:pt idx="11">
                  <c:v>5.0632911392405063E-2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2-4D6F-9A61-299E255CC1E3}"/>
            </c:ext>
          </c:extLst>
        </c:ser>
        <c:ser>
          <c:idx val="1"/>
          <c:order val="2"/>
          <c:tx>
            <c:strRef>
              <c:f>'210 - Single Family (WisDOT)'!$F$37</c:f>
              <c:strCache>
                <c:ptCount val="1"/>
                <c:pt idx="0">
                  <c:v>WIS 83 / Meadow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(WisDOT)'!$J$25:$J$36</c:f>
              <c:numCache>
                <c:formatCode>0.00%</c:formatCode>
                <c:ptCount val="12"/>
                <c:pt idx="0">
                  <c:v>6.741573033707865E-2</c:v>
                </c:pt>
                <c:pt idx="1">
                  <c:v>0.1348314606741573</c:v>
                </c:pt>
                <c:pt idx="2">
                  <c:v>3.3707865168539325E-2</c:v>
                </c:pt>
                <c:pt idx="3">
                  <c:v>3.3707865168539325E-2</c:v>
                </c:pt>
                <c:pt idx="4">
                  <c:v>6.741573033707865E-2</c:v>
                </c:pt>
                <c:pt idx="5">
                  <c:v>3.3707865168539325E-2</c:v>
                </c:pt>
                <c:pt idx="6">
                  <c:v>0.10112359550561797</c:v>
                </c:pt>
                <c:pt idx="7">
                  <c:v>3.3707865168539325E-2</c:v>
                </c:pt>
                <c:pt idx="8">
                  <c:v>0.10112359550561797</c:v>
                </c:pt>
                <c:pt idx="9">
                  <c:v>4.49438202247191E-2</c:v>
                </c:pt>
                <c:pt idx="10">
                  <c:v>7.8651685393258425E-2</c:v>
                </c:pt>
                <c:pt idx="11">
                  <c:v>6.741573033707865E-2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2-4D6F-9A61-299E255CC1E3}"/>
            </c:ext>
          </c:extLst>
        </c:ser>
        <c:ser>
          <c:idx val="2"/>
          <c:order val="3"/>
          <c:tx>
            <c:strRef>
              <c:f>'210 - Single Family (WisDOT)'!$F$55</c:f>
              <c:strCache>
                <c:ptCount val="1"/>
                <c:pt idx="0">
                  <c:v>WIS 190 / Imperial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(WisDOT)'!$J$43:$J$54</c:f>
              <c:numCache>
                <c:formatCode>0.00%</c:formatCode>
                <c:ptCount val="12"/>
                <c:pt idx="0">
                  <c:v>4.0860215053763443E-2</c:v>
                </c:pt>
                <c:pt idx="1">
                  <c:v>0.1010752688172043</c:v>
                </c:pt>
                <c:pt idx="2">
                  <c:v>0.11505376344086021</c:v>
                </c:pt>
                <c:pt idx="3">
                  <c:v>6.7741935483870974E-2</c:v>
                </c:pt>
                <c:pt idx="4">
                  <c:v>7.3118279569892475E-2</c:v>
                </c:pt>
                <c:pt idx="5">
                  <c:v>7.0967741935483872E-2</c:v>
                </c:pt>
                <c:pt idx="6">
                  <c:v>4.3010752688172046E-2</c:v>
                </c:pt>
                <c:pt idx="7">
                  <c:v>6.4516129032258063E-2</c:v>
                </c:pt>
                <c:pt idx="8">
                  <c:v>6.4516129032258063E-2</c:v>
                </c:pt>
                <c:pt idx="9">
                  <c:v>7.5268817204301078E-2</c:v>
                </c:pt>
                <c:pt idx="10">
                  <c:v>6.8817204301075269E-2</c:v>
                </c:pt>
                <c:pt idx="11">
                  <c:v>9.56989247311828E-2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2-4D6F-9A61-299E255CC1E3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(WisDOT)'!$D$7:$D$18</c:f>
              <c:numCache>
                <c:formatCode>0.0%</c:formatCode>
                <c:ptCount val="12"/>
                <c:pt idx="0">
                  <c:v>7.6999999999999999E-2</c:v>
                </c:pt>
                <c:pt idx="1">
                  <c:v>0.122</c:v>
                </c:pt>
                <c:pt idx="2">
                  <c:v>7.6999999999999999E-2</c:v>
                </c:pt>
                <c:pt idx="3">
                  <c:v>5.0999999999999997E-2</c:v>
                </c:pt>
                <c:pt idx="4">
                  <c:v>5.8000000000000003E-2</c:v>
                </c:pt>
                <c:pt idx="5">
                  <c:v>5.1999999999999998E-2</c:v>
                </c:pt>
                <c:pt idx="6">
                  <c:v>6.0999999999999999E-2</c:v>
                </c:pt>
                <c:pt idx="7">
                  <c:v>4.7E-2</c:v>
                </c:pt>
                <c:pt idx="8">
                  <c:v>6.9000000000000006E-2</c:v>
                </c:pt>
                <c:pt idx="9">
                  <c:v>5.8000000000000003E-2</c:v>
                </c:pt>
                <c:pt idx="10">
                  <c:v>6.7000000000000004E-2</c:v>
                </c:pt>
                <c:pt idx="11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B2-4D6F-9A61-299E255CC1E3}"/>
            </c:ext>
          </c:extLst>
        </c:ser>
        <c:ser>
          <c:idx val="4"/>
          <c:order val="5"/>
          <c:tx>
            <c:strRef>
              <c:f>'210 - Single Family (WisDOT)'!$F$72</c:f>
              <c:strCache>
                <c:ptCount val="1"/>
                <c:pt idx="0">
                  <c:v>WIS 38 / Caddy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(WisDOT)'!$J$60:$J$71</c:f>
              <c:numCache>
                <c:formatCode>0.00%</c:formatCode>
                <c:ptCount val="12"/>
                <c:pt idx="0">
                  <c:v>9.93485342019544E-2</c:v>
                </c:pt>
                <c:pt idx="1">
                  <c:v>8.4690553745928335E-2</c:v>
                </c:pt>
                <c:pt idx="2">
                  <c:v>6.1889250814332247E-2</c:v>
                </c:pt>
                <c:pt idx="3">
                  <c:v>5.5374592833876218E-2</c:v>
                </c:pt>
                <c:pt idx="4">
                  <c:v>5.2117263843648211E-2</c:v>
                </c:pt>
                <c:pt idx="5">
                  <c:v>6.3517915309446255E-2</c:v>
                </c:pt>
                <c:pt idx="6">
                  <c:v>7.0032573289902283E-2</c:v>
                </c:pt>
                <c:pt idx="7">
                  <c:v>5.5374592833876218E-2</c:v>
                </c:pt>
                <c:pt idx="8">
                  <c:v>4.2345276872964167E-2</c:v>
                </c:pt>
                <c:pt idx="9">
                  <c:v>5.3745928338762218E-2</c:v>
                </c:pt>
                <c:pt idx="10">
                  <c:v>6.026058631921824E-2</c:v>
                </c:pt>
                <c:pt idx="11">
                  <c:v>5.7003257328990226E-2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B2-4D6F-9A61-299E255C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22304"/>
        <c:axId val="205876448"/>
      </c:lineChart>
      <c:catAx>
        <c:axId val="2066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8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7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2857742782152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22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25"/>
          <c:y val="0.89714445694288203"/>
          <c:w val="0.64000000000000012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Residential Traffic</a:t>
            </a:r>
          </a:p>
        </c:rich>
      </c:tx>
      <c:layout>
        <c:manualLayout>
          <c:xMode val="edge"/>
          <c:yMode val="edge"/>
          <c:x val="0.36809071604742871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3168851210558152"/>
        </c:manualLayout>
      </c:layout>
      <c:lineChart>
        <c:grouping val="standard"/>
        <c:varyColors val="0"/>
        <c:ser>
          <c:idx val="3"/>
          <c:order val="0"/>
          <c:tx>
            <c:strRef>
              <c:f>'210 - Single Family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(WisDOT)'!$H$78:$H$89</c:f>
              <c:numCache>
                <c:formatCode>0.00%</c:formatCode>
                <c:ptCount val="12"/>
                <c:pt idx="0">
                  <c:v>1.9168892624358863E-2</c:v>
                </c:pt>
                <c:pt idx="1">
                  <c:v>1.4967139374801494E-2</c:v>
                </c:pt>
                <c:pt idx="2">
                  <c:v>2.9387697888096018E-2</c:v>
                </c:pt>
                <c:pt idx="3">
                  <c:v>3.7330214084536649E-2</c:v>
                </c:pt>
                <c:pt idx="4">
                  <c:v>4.2560569976073846E-2</c:v>
                </c:pt>
                <c:pt idx="5">
                  <c:v>7.0083464993198341E-2</c:v>
                </c:pt>
                <c:pt idx="6">
                  <c:v>7.0686461228665454E-2</c:v>
                </c:pt>
                <c:pt idx="7">
                  <c:v>5.9313583867464215E-2</c:v>
                </c:pt>
                <c:pt idx="8">
                  <c:v>7.9507504285333153E-2</c:v>
                </c:pt>
                <c:pt idx="9">
                  <c:v>0.1020863724392039</c:v>
                </c:pt>
                <c:pt idx="10">
                  <c:v>0.13792069784398658</c:v>
                </c:pt>
                <c:pt idx="11">
                  <c:v>0.13639443184993602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E-42A6-A8B7-310A8034B258}"/>
            </c:ext>
          </c:extLst>
        </c:ser>
        <c:ser>
          <c:idx val="0"/>
          <c:order val="1"/>
          <c:tx>
            <c:strRef>
              <c:f>'210 - Single Family (WisDOT)'!$F$19</c:f>
              <c:strCache>
                <c:ptCount val="1"/>
                <c:pt idx="0">
                  <c:v>USH 18 / Pebble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(WisDOT)'!$H$7:$H$18</c:f>
              <c:numCache>
                <c:formatCode>0.00%</c:formatCode>
                <c:ptCount val="12"/>
                <c:pt idx="0">
                  <c:v>1.8292682926829267E-2</c:v>
                </c:pt>
                <c:pt idx="1">
                  <c:v>1.8292682926829267E-2</c:v>
                </c:pt>
                <c:pt idx="2">
                  <c:v>3.048780487804878E-2</c:v>
                </c:pt>
                <c:pt idx="3">
                  <c:v>2.7439024390243903E-2</c:v>
                </c:pt>
                <c:pt idx="4">
                  <c:v>5.1829268292682924E-2</c:v>
                </c:pt>
                <c:pt idx="5">
                  <c:v>5.4878048780487805E-2</c:v>
                </c:pt>
                <c:pt idx="6">
                  <c:v>5.1829268292682924E-2</c:v>
                </c:pt>
                <c:pt idx="7">
                  <c:v>4.2682926829268296E-2</c:v>
                </c:pt>
                <c:pt idx="8">
                  <c:v>6.7073170731707321E-2</c:v>
                </c:pt>
                <c:pt idx="9">
                  <c:v>0.10670731707317073</c:v>
                </c:pt>
                <c:pt idx="10">
                  <c:v>0.1524390243902439</c:v>
                </c:pt>
                <c:pt idx="11">
                  <c:v>0.1402439024390244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E-42A6-A8B7-310A8034B258}"/>
            </c:ext>
          </c:extLst>
        </c:ser>
        <c:ser>
          <c:idx val="1"/>
          <c:order val="2"/>
          <c:tx>
            <c:strRef>
              <c:f>'210 - Single Family (WisDOT)'!$F$37</c:f>
              <c:strCache>
                <c:ptCount val="1"/>
                <c:pt idx="0">
                  <c:v>WIS 83 / Meadow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(WisDOT)'!$H$25:$H$36</c:f>
              <c:numCache>
                <c:formatCode>0.00%</c:formatCode>
                <c:ptCount val="12"/>
                <c:pt idx="0">
                  <c:v>1.098901098901099E-2</c:v>
                </c:pt>
                <c:pt idx="1">
                  <c:v>1.098901098901099E-2</c:v>
                </c:pt>
                <c:pt idx="2">
                  <c:v>3.2967032967032968E-2</c:v>
                </c:pt>
                <c:pt idx="3">
                  <c:v>3.2967032967032968E-2</c:v>
                </c:pt>
                <c:pt idx="4">
                  <c:v>4.3956043956043959E-2</c:v>
                </c:pt>
                <c:pt idx="5">
                  <c:v>8.7912087912087919E-2</c:v>
                </c:pt>
                <c:pt idx="6">
                  <c:v>6.5934065934065936E-2</c:v>
                </c:pt>
                <c:pt idx="7">
                  <c:v>4.3956043956043959E-2</c:v>
                </c:pt>
                <c:pt idx="8">
                  <c:v>7.6923076923076927E-2</c:v>
                </c:pt>
                <c:pt idx="9">
                  <c:v>6.5934065934065936E-2</c:v>
                </c:pt>
                <c:pt idx="10">
                  <c:v>0.16483516483516483</c:v>
                </c:pt>
                <c:pt idx="11">
                  <c:v>0.15384615384615385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4E-42A6-A8B7-310A8034B258}"/>
            </c:ext>
          </c:extLst>
        </c:ser>
        <c:ser>
          <c:idx val="2"/>
          <c:order val="3"/>
          <c:tx>
            <c:strRef>
              <c:f>'210 - Single Family (WisDOT)'!$F$55</c:f>
              <c:strCache>
                <c:ptCount val="1"/>
                <c:pt idx="0">
                  <c:v>WIS 190 / Imperial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(WisDOT)'!$H$43:$H$54</c:f>
              <c:numCache>
                <c:formatCode>0.00%</c:formatCode>
                <c:ptCount val="12"/>
                <c:pt idx="0">
                  <c:v>2.4096385542168676E-2</c:v>
                </c:pt>
                <c:pt idx="1">
                  <c:v>1.4457831325301205E-2</c:v>
                </c:pt>
                <c:pt idx="2">
                  <c:v>3.9759036144578312E-2</c:v>
                </c:pt>
                <c:pt idx="3">
                  <c:v>6.0240963855421686E-2</c:v>
                </c:pt>
                <c:pt idx="4">
                  <c:v>4.5783132530120479E-2</c:v>
                </c:pt>
                <c:pt idx="5">
                  <c:v>8.91566265060241E-2</c:v>
                </c:pt>
                <c:pt idx="6">
                  <c:v>8.4337349397590355E-2</c:v>
                </c:pt>
                <c:pt idx="7">
                  <c:v>8.0722891566265054E-2</c:v>
                </c:pt>
                <c:pt idx="8">
                  <c:v>9.5180722891566261E-2</c:v>
                </c:pt>
                <c:pt idx="9">
                  <c:v>0.11204819277108434</c:v>
                </c:pt>
                <c:pt idx="10">
                  <c:v>0.1</c:v>
                </c:pt>
                <c:pt idx="11">
                  <c:v>0.14216867469879518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4E-42A6-A8B7-310A8034B258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(WisDOT)'!$C$7:$C$18</c:f>
              <c:numCache>
                <c:formatCode>0.0%</c:formatCode>
                <c:ptCount val="12"/>
                <c:pt idx="0">
                  <c:v>1.9E-2</c:v>
                </c:pt>
                <c:pt idx="1">
                  <c:v>1.4999999999999999E-2</c:v>
                </c:pt>
                <c:pt idx="2">
                  <c:v>2.9000000000000001E-2</c:v>
                </c:pt>
                <c:pt idx="3">
                  <c:v>3.6999999999999998E-2</c:v>
                </c:pt>
                <c:pt idx="4">
                  <c:v>4.2999999999999997E-2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5.8999999999999997E-2</c:v>
                </c:pt>
                <c:pt idx="8">
                  <c:v>0.08</c:v>
                </c:pt>
                <c:pt idx="9">
                  <c:v>0.10199999999999999</c:v>
                </c:pt>
                <c:pt idx="10">
                  <c:v>0.13800000000000001</c:v>
                </c:pt>
                <c:pt idx="11">
                  <c:v>0.13600000000000001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4E-42A6-A8B7-310A8034B258}"/>
            </c:ext>
          </c:extLst>
        </c:ser>
        <c:ser>
          <c:idx val="4"/>
          <c:order val="5"/>
          <c:tx>
            <c:strRef>
              <c:f>'210 - Single Family (WisDOT)'!$F$72</c:f>
              <c:strCache>
                <c:ptCount val="1"/>
                <c:pt idx="0">
                  <c:v>WIS 38 / Caddy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(WisDOT)'!$H$60:$H$71</c:f>
              <c:numCache>
                <c:formatCode>0.00%</c:formatCode>
                <c:ptCount val="12"/>
                <c:pt idx="0">
                  <c:v>2.3297491039426525E-2</c:v>
                </c:pt>
                <c:pt idx="1">
                  <c:v>1.6129032258064516E-2</c:v>
                </c:pt>
                <c:pt idx="2">
                  <c:v>1.4336917562724014E-2</c:v>
                </c:pt>
                <c:pt idx="3">
                  <c:v>2.8673835125448029E-2</c:v>
                </c:pt>
                <c:pt idx="4">
                  <c:v>2.8673835125448029E-2</c:v>
                </c:pt>
                <c:pt idx="5">
                  <c:v>4.8387096774193547E-2</c:v>
                </c:pt>
                <c:pt idx="6">
                  <c:v>8.0645161290322578E-2</c:v>
                </c:pt>
                <c:pt idx="7">
                  <c:v>6.9892473118279563E-2</c:v>
                </c:pt>
                <c:pt idx="8">
                  <c:v>7.8853046594982074E-2</c:v>
                </c:pt>
                <c:pt idx="9">
                  <c:v>0.12365591397849462</c:v>
                </c:pt>
                <c:pt idx="10">
                  <c:v>0.13440860215053763</c:v>
                </c:pt>
                <c:pt idx="11">
                  <c:v>0.10931899641577061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4E-42A6-A8B7-310A8034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02632"/>
        <c:axId val="206603024"/>
      </c:lineChart>
      <c:catAx>
        <c:axId val="20660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02469783869608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84937812421687"/>
          <c:y val="0.88889061706792816"/>
          <c:w val="0.64321647608119337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Apartments Traffic</a:t>
            </a:r>
          </a:p>
        </c:rich>
      </c:tx>
      <c:layout>
        <c:manualLayout>
          <c:xMode val="edge"/>
          <c:yMode val="edge"/>
          <c:x val="0.35875000000000001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58666775793853787"/>
        </c:manualLayout>
      </c:layout>
      <c:lineChart>
        <c:grouping val="standard"/>
        <c:varyColors val="0"/>
        <c:ser>
          <c:idx val="3"/>
          <c:order val="0"/>
          <c:tx>
            <c:strRef>
              <c:f>'220-MultiFam HousingLR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'220-MultiFam HousingLR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'220-MultiFam HousingLR (WisDOT)'!$J$62:$J$73</c:f>
              <c:numCache>
                <c:formatCode>0.00%</c:formatCode>
                <c:ptCount val="12"/>
                <c:pt idx="0">
                  <c:v>6.6246181812949376E-2</c:v>
                </c:pt>
                <c:pt idx="1">
                  <c:v>0.10681146586667471</c:v>
                </c:pt>
                <c:pt idx="2">
                  <c:v>5.6695499270086047E-2</c:v>
                </c:pt>
                <c:pt idx="3">
                  <c:v>5.3555918499873185E-2</c:v>
                </c:pt>
                <c:pt idx="4">
                  <c:v>4.9586786191274428E-2</c:v>
                </c:pt>
                <c:pt idx="5">
                  <c:v>5.0492111754325469E-2</c:v>
                </c:pt>
                <c:pt idx="6">
                  <c:v>5.3752093895340858E-2</c:v>
                </c:pt>
                <c:pt idx="7">
                  <c:v>6.2474170323410905E-2</c:v>
                </c:pt>
                <c:pt idx="8">
                  <c:v>6.7474525762450929E-2</c:v>
                </c:pt>
                <c:pt idx="9">
                  <c:v>6.5453101498303287E-2</c:v>
                </c:pt>
                <c:pt idx="10">
                  <c:v>9.4769787947120487E-2</c:v>
                </c:pt>
                <c:pt idx="11">
                  <c:v>9.5095582258162101E-2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9-4C4E-B809-341A43F92F56}"/>
            </c:ext>
          </c:extLst>
        </c:ser>
        <c:ser>
          <c:idx val="0"/>
          <c:order val="1"/>
          <c:tx>
            <c:strRef>
              <c:f>'220-MultiFam HousingLR (WisDOT)'!$F$19</c:f>
              <c:strCache>
                <c:ptCount val="1"/>
                <c:pt idx="0">
                  <c:v>WIS 181 / Northridge Lakes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(WisDOT)'!$J$7:$J$18</c:f>
              <c:numCache>
                <c:formatCode>0.00%</c:formatCode>
                <c:ptCount val="12"/>
                <c:pt idx="0">
                  <c:v>6.1932728243459689E-2</c:v>
                </c:pt>
                <c:pt idx="1">
                  <c:v>0.10678056593699947</c:v>
                </c:pt>
                <c:pt idx="2">
                  <c:v>8.5424452749599575E-2</c:v>
                </c:pt>
                <c:pt idx="3">
                  <c:v>6.5136145221569672E-2</c:v>
                </c:pt>
                <c:pt idx="4">
                  <c:v>5.4991991457554727E-2</c:v>
                </c:pt>
                <c:pt idx="5">
                  <c:v>5.3390282968499736E-2</c:v>
                </c:pt>
                <c:pt idx="6">
                  <c:v>5.9263214095034704E-2</c:v>
                </c:pt>
                <c:pt idx="7">
                  <c:v>5.5525894287239724E-2</c:v>
                </c:pt>
                <c:pt idx="8">
                  <c:v>5.445808862786973E-2</c:v>
                </c:pt>
                <c:pt idx="9">
                  <c:v>6.8339562199679654E-2</c:v>
                </c:pt>
                <c:pt idx="10">
                  <c:v>5.6059797116924721E-2</c:v>
                </c:pt>
                <c:pt idx="11">
                  <c:v>5.7127602776294716E-2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9-4C4E-B809-341A43F92F56}"/>
            </c:ext>
          </c:extLst>
        </c:ser>
        <c:ser>
          <c:idx val="1"/>
          <c:order val="2"/>
          <c:tx>
            <c:strRef>
              <c:f>'220-MultiFam HousingLR (WisDOT)'!$F$37</c:f>
              <c:strCache>
                <c:ptCount val="1"/>
                <c:pt idx="0">
                  <c:v>WIS 31/Castle Court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(WisDOT)'!$J$25:$J$36</c:f>
              <c:numCache>
                <c:formatCode>0.00%</c:formatCode>
                <c:ptCount val="12"/>
                <c:pt idx="0">
                  <c:v>4.3327556325823226E-2</c:v>
                </c:pt>
                <c:pt idx="1">
                  <c:v>7.452339688041594E-2</c:v>
                </c:pt>
                <c:pt idx="2">
                  <c:v>3.4662045060658578E-2</c:v>
                </c:pt>
                <c:pt idx="3">
                  <c:v>3.4662045060658578E-2</c:v>
                </c:pt>
                <c:pt idx="4">
                  <c:v>4.1594454072790298E-2</c:v>
                </c:pt>
                <c:pt idx="5">
                  <c:v>5.0259965337954939E-2</c:v>
                </c:pt>
                <c:pt idx="6">
                  <c:v>5.1993067590987867E-2</c:v>
                </c:pt>
                <c:pt idx="7">
                  <c:v>7.9722703639514725E-2</c:v>
                </c:pt>
                <c:pt idx="8">
                  <c:v>8.4922010398613523E-2</c:v>
                </c:pt>
                <c:pt idx="9">
                  <c:v>6.9324090121317156E-2</c:v>
                </c:pt>
                <c:pt idx="10">
                  <c:v>0.12824956672443674</c:v>
                </c:pt>
                <c:pt idx="11">
                  <c:v>0.15424610051993068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9-4C4E-B809-341A43F92F56}"/>
            </c:ext>
          </c:extLst>
        </c:ser>
        <c:ser>
          <c:idx val="2"/>
          <c:order val="3"/>
          <c:tx>
            <c:strRef>
              <c:f>'220-MultiFam HousingLR (WisDOT)'!$F$55</c:f>
              <c:strCache>
                <c:ptCount val="1"/>
                <c:pt idx="0">
                  <c:v>US-45/WIS 100 &amp; Cortez Cir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(WisDOT)'!$J$43:$J$54</c:f>
              <c:numCache>
                <c:formatCode>0.00%</c:formatCode>
                <c:ptCount val="12"/>
                <c:pt idx="0">
                  <c:v>9.3478260869565219E-2</c:v>
                </c:pt>
                <c:pt idx="1">
                  <c:v>0.1391304347826087</c:v>
                </c:pt>
                <c:pt idx="2">
                  <c:v>0.05</c:v>
                </c:pt>
                <c:pt idx="3">
                  <c:v>6.0869565217391307E-2</c:v>
                </c:pt>
                <c:pt idx="4">
                  <c:v>5.2173913043478258E-2</c:v>
                </c:pt>
                <c:pt idx="5">
                  <c:v>4.7826086956521741E-2</c:v>
                </c:pt>
                <c:pt idx="6">
                  <c:v>0.05</c:v>
                </c:pt>
                <c:pt idx="7">
                  <c:v>5.2173913043478258E-2</c:v>
                </c:pt>
                <c:pt idx="8">
                  <c:v>6.3043478260869562E-2</c:v>
                </c:pt>
                <c:pt idx="9">
                  <c:v>5.8695652173913045E-2</c:v>
                </c:pt>
                <c:pt idx="10">
                  <c:v>0.1</c:v>
                </c:pt>
                <c:pt idx="11">
                  <c:v>7.3913043478260873E-2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9-4C4E-B809-341A43F92F56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'220-MultiFam HousingLR (WisDOT)'!$D$7:$D$18</c:f>
              <c:numCache>
                <c:formatCode>0.0%</c:formatCode>
                <c:ptCount val="12"/>
                <c:pt idx="0">
                  <c:v>6.6000000000000003E-2</c:v>
                </c:pt>
                <c:pt idx="1">
                  <c:v>0.107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5.0999999999999997E-2</c:v>
                </c:pt>
                <c:pt idx="6">
                  <c:v>5.3999999999999999E-2</c:v>
                </c:pt>
                <c:pt idx="7">
                  <c:v>6.3E-2</c:v>
                </c:pt>
                <c:pt idx="8">
                  <c:v>6.8000000000000005E-2</c:v>
                </c:pt>
                <c:pt idx="9">
                  <c:v>6.6000000000000003E-2</c:v>
                </c:pt>
                <c:pt idx="10">
                  <c:v>9.5000000000000001E-2</c:v>
                </c:pt>
                <c:pt idx="11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89-4C4E-B809-341A43F92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03808"/>
        <c:axId val="206604200"/>
      </c:lineChart>
      <c:catAx>
        <c:axId val="2066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4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4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2857148856392950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25"/>
          <c:y val="0.89714445694288203"/>
          <c:w val="0.85750000000000004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Apartments Traffic</a:t>
            </a:r>
          </a:p>
        </c:rich>
      </c:tx>
      <c:layout>
        <c:manualLayout>
          <c:xMode val="edge"/>
          <c:yMode val="edge"/>
          <c:x val="0.3655781532333584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55761428918766309"/>
        </c:manualLayout>
      </c:layout>
      <c:lineChart>
        <c:grouping val="standard"/>
        <c:varyColors val="0"/>
        <c:ser>
          <c:idx val="3"/>
          <c:order val="0"/>
          <c:tx>
            <c:strRef>
              <c:f>'220-MultiFam HousingLR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'220-MultiFam HousingLR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'220-MultiFam HousingLR (WisDOT)'!$H$62:$H$73</c:f>
              <c:numCache>
                <c:formatCode>0.00%</c:formatCode>
                <c:ptCount val="12"/>
                <c:pt idx="0">
                  <c:v>1.7757872692109926E-2</c:v>
                </c:pt>
                <c:pt idx="1">
                  <c:v>4.1347879971327238E-2</c:v>
                </c:pt>
                <c:pt idx="2">
                  <c:v>4.6291641251858841E-2</c:v>
                </c:pt>
                <c:pt idx="3">
                  <c:v>4.8252403795555537E-2</c:v>
                </c:pt>
                <c:pt idx="4">
                  <c:v>4.0101027764419823E-2</c:v>
                </c:pt>
                <c:pt idx="5">
                  <c:v>5.1877914318037725E-2</c:v>
                </c:pt>
                <c:pt idx="6">
                  <c:v>7.0409114218483379E-2</c:v>
                </c:pt>
                <c:pt idx="7">
                  <c:v>8.8792081312581428E-2</c:v>
                </c:pt>
                <c:pt idx="8">
                  <c:v>8.0740762714863565E-2</c:v>
                </c:pt>
                <c:pt idx="9">
                  <c:v>9.1317613508487896E-2</c:v>
                </c:pt>
                <c:pt idx="10">
                  <c:v>9.7781018382625914E-2</c:v>
                </c:pt>
                <c:pt idx="11">
                  <c:v>0.14795045621748551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6-4C3D-B8FD-6D185C8B2FDD}"/>
            </c:ext>
          </c:extLst>
        </c:ser>
        <c:ser>
          <c:idx val="0"/>
          <c:order val="1"/>
          <c:tx>
            <c:strRef>
              <c:f>'220-MultiFam HousingLR (WisDOT)'!$F$19</c:f>
              <c:strCache>
                <c:ptCount val="1"/>
                <c:pt idx="0">
                  <c:v>WIS 181 / Northridge Lakes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(WisDOT)'!$H$7:$H$18</c:f>
              <c:numCache>
                <c:formatCode>0.00%</c:formatCode>
                <c:ptCount val="12"/>
                <c:pt idx="0">
                  <c:v>1.4114326040931546E-2</c:v>
                </c:pt>
                <c:pt idx="1">
                  <c:v>4.0931545518701484E-2</c:v>
                </c:pt>
                <c:pt idx="2">
                  <c:v>5.2223006351446721E-2</c:v>
                </c:pt>
                <c:pt idx="3">
                  <c:v>5.1517290049400144E-2</c:v>
                </c:pt>
                <c:pt idx="4">
                  <c:v>4.3754410726887794E-2</c:v>
                </c:pt>
                <c:pt idx="5">
                  <c:v>4.7988708539167257E-2</c:v>
                </c:pt>
                <c:pt idx="6">
                  <c:v>6.8454481298518E-2</c:v>
                </c:pt>
                <c:pt idx="7">
                  <c:v>6.4925899788285113E-2</c:v>
                </c:pt>
                <c:pt idx="8">
                  <c:v>6.6337332392378268E-2</c:v>
                </c:pt>
                <c:pt idx="9">
                  <c:v>9.1037402964008474E-2</c:v>
                </c:pt>
                <c:pt idx="10">
                  <c:v>9.8800282286520824E-2</c:v>
                </c:pt>
                <c:pt idx="11">
                  <c:v>0.13832039520112915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6-4C3D-B8FD-6D185C8B2FDD}"/>
            </c:ext>
          </c:extLst>
        </c:ser>
        <c:ser>
          <c:idx val="1"/>
          <c:order val="2"/>
          <c:tx>
            <c:strRef>
              <c:f>'220-MultiFam HousingLR (WisDOT)'!$F$37</c:f>
              <c:strCache>
                <c:ptCount val="1"/>
                <c:pt idx="0">
                  <c:v>WIS 31/Castle Court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(WisDOT)'!$H$25:$H$36</c:f>
              <c:numCache>
                <c:formatCode>0.00%</c:formatCode>
                <c:ptCount val="12"/>
                <c:pt idx="0">
                  <c:v>1.415929203539823E-2</c:v>
                </c:pt>
                <c:pt idx="1">
                  <c:v>2.4778761061946902E-2</c:v>
                </c:pt>
                <c:pt idx="2">
                  <c:v>2.831858407079646E-2</c:v>
                </c:pt>
                <c:pt idx="3">
                  <c:v>4.6017699115044247E-2</c:v>
                </c:pt>
                <c:pt idx="4">
                  <c:v>2.6548672566371681E-2</c:v>
                </c:pt>
                <c:pt idx="5">
                  <c:v>5.4867256637168141E-2</c:v>
                </c:pt>
                <c:pt idx="6">
                  <c:v>7.6106194690265486E-2</c:v>
                </c:pt>
                <c:pt idx="7">
                  <c:v>0.14867256637168141</c:v>
                </c:pt>
                <c:pt idx="8">
                  <c:v>0.10088495575221239</c:v>
                </c:pt>
                <c:pt idx="9">
                  <c:v>6.9026548672566371E-2</c:v>
                </c:pt>
                <c:pt idx="10">
                  <c:v>7.7876106194690264E-2</c:v>
                </c:pt>
                <c:pt idx="11">
                  <c:v>0.18053097345132743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86-4C3D-B8FD-6D185C8B2FDD}"/>
            </c:ext>
          </c:extLst>
        </c:ser>
        <c:ser>
          <c:idx val="2"/>
          <c:order val="3"/>
          <c:tx>
            <c:strRef>
              <c:f>'220-MultiFam HousingLR (WisDOT)'!$F$55</c:f>
              <c:strCache>
                <c:ptCount val="1"/>
                <c:pt idx="0">
                  <c:v>US-45/WIS 100 &amp; Cortez Cir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(WisDOT)'!$H$43:$H$54</c:f>
              <c:numCache>
                <c:formatCode>0.00%</c:formatCode>
                <c:ptCount val="12"/>
                <c:pt idx="0">
                  <c:v>2.5000000000000001E-2</c:v>
                </c:pt>
                <c:pt idx="1">
                  <c:v>5.8333333333333334E-2</c:v>
                </c:pt>
                <c:pt idx="2">
                  <c:v>5.8333333333333334E-2</c:v>
                </c:pt>
                <c:pt idx="3">
                  <c:v>4.7222222222222221E-2</c:v>
                </c:pt>
                <c:pt idx="4">
                  <c:v>0.05</c:v>
                </c:pt>
                <c:pt idx="5">
                  <c:v>5.2777777777777778E-2</c:v>
                </c:pt>
                <c:pt idx="6">
                  <c:v>6.6666666666666666E-2</c:v>
                </c:pt>
                <c:pt idx="7">
                  <c:v>5.2777777777777778E-2</c:v>
                </c:pt>
                <c:pt idx="8">
                  <c:v>7.4999999999999997E-2</c:v>
                </c:pt>
                <c:pt idx="9">
                  <c:v>0.11388888888888889</c:v>
                </c:pt>
                <c:pt idx="10">
                  <c:v>0.11666666666666667</c:v>
                </c:pt>
                <c:pt idx="11">
                  <c:v>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86-4C3D-B8FD-6D185C8B2FDD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'220-MultiFam HousingLR (WisDOT)'!$C$7:$C$18</c:f>
              <c:numCache>
                <c:formatCode>0.0%</c:formatCode>
                <c:ptCount val="12"/>
                <c:pt idx="0">
                  <c:v>1.7999999999999999E-2</c:v>
                </c:pt>
                <c:pt idx="1">
                  <c:v>4.1000000000000002E-2</c:v>
                </c:pt>
                <c:pt idx="2">
                  <c:v>4.5999999999999999E-2</c:v>
                </c:pt>
                <c:pt idx="3">
                  <c:v>4.8000000000000001E-2</c:v>
                </c:pt>
                <c:pt idx="4">
                  <c:v>0.04</c:v>
                </c:pt>
                <c:pt idx="5">
                  <c:v>5.1999999999999998E-2</c:v>
                </c:pt>
                <c:pt idx="6">
                  <c:v>7.0000000000000007E-2</c:v>
                </c:pt>
                <c:pt idx="7">
                  <c:v>8.8999999999999996E-2</c:v>
                </c:pt>
                <c:pt idx="8">
                  <c:v>8.1000000000000003E-2</c:v>
                </c:pt>
                <c:pt idx="9">
                  <c:v>9.0999999999999998E-2</c:v>
                </c:pt>
                <c:pt idx="10">
                  <c:v>9.8000000000000004E-2</c:v>
                </c:pt>
                <c:pt idx="11">
                  <c:v>0.14799999999999999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86-4C3D-B8FD-6D185C8B2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04984"/>
        <c:axId val="206605376"/>
      </c:lineChart>
      <c:catAx>
        <c:axId val="20660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65432530810191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4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55289571215658"/>
          <c:y val="0.88889061706792816"/>
          <c:w val="0.861809572798375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Movie Theater Traffic</a:t>
            </a:r>
          </a:p>
        </c:rich>
      </c:tx>
      <c:layout>
        <c:manualLayout>
          <c:xMode val="edge"/>
          <c:yMode val="edge"/>
          <c:x val="0.3462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"/>
          <c:y val="0.14666693948463447"/>
          <c:w val="0.89249999999999996"/>
          <c:h val="0.62857259779129049"/>
        </c:manualLayout>
      </c:layout>
      <c:lineChart>
        <c:grouping val="standard"/>
        <c:varyColors val="0"/>
        <c:ser>
          <c:idx val="3"/>
          <c:order val="0"/>
          <c:tx>
            <c:strRef>
              <c:f>'&lt;445 - Movie Theater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'&lt;445 - Movie Theater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'&lt;445 - Movie Theater (WisDOT)&gt;'!$J$62:$J$73</c:f>
              <c:numCache>
                <c:formatCode>0.00%</c:formatCode>
                <c:ptCount val="12"/>
                <c:pt idx="0">
                  <c:v>7.7787381158167671E-3</c:v>
                </c:pt>
                <c:pt idx="1">
                  <c:v>6.9144338807260158E-3</c:v>
                </c:pt>
                <c:pt idx="2">
                  <c:v>7.7787381158167671E-3</c:v>
                </c:pt>
                <c:pt idx="3">
                  <c:v>3.4572169403630079E-3</c:v>
                </c:pt>
                <c:pt idx="4">
                  <c:v>1.728608470181504E-2</c:v>
                </c:pt>
                <c:pt idx="5">
                  <c:v>1.9878997407087293E-2</c:v>
                </c:pt>
                <c:pt idx="6">
                  <c:v>6.3958513396715641E-2</c:v>
                </c:pt>
                <c:pt idx="7">
                  <c:v>5.0129645635263613E-2</c:v>
                </c:pt>
                <c:pt idx="8">
                  <c:v>4.5808124459809856E-2</c:v>
                </c:pt>
                <c:pt idx="9">
                  <c:v>1.2964563526361279E-2</c:v>
                </c:pt>
                <c:pt idx="10">
                  <c:v>7.5194468452895416E-2</c:v>
                </c:pt>
                <c:pt idx="11">
                  <c:v>5.9636992221261884E-2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C-4549-BFE6-AE96A7D16127}"/>
            </c:ext>
          </c:extLst>
        </c:ser>
        <c:ser>
          <c:idx val="0"/>
          <c:order val="1"/>
          <c:tx>
            <c:strRef>
              <c:f>'&lt;445 - Movie Theater (WisDOT)&gt;'!$F$19</c:f>
              <c:strCache>
                <c:ptCount val="1"/>
                <c:pt idx="0">
                  <c:v>County O / Ridge Drwy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'&lt;445 - Movie Theater (WisDOT)&gt;'!$J$7:$J$18</c:f>
              <c:numCache>
                <c:formatCode>0.00%</c:formatCode>
                <c:ptCount val="12"/>
                <c:pt idx="0">
                  <c:v>7.7787381158167671E-3</c:v>
                </c:pt>
                <c:pt idx="1">
                  <c:v>6.9144338807260158E-3</c:v>
                </c:pt>
                <c:pt idx="2">
                  <c:v>7.7787381158167671E-3</c:v>
                </c:pt>
                <c:pt idx="3">
                  <c:v>3.4572169403630079E-3</c:v>
                </c:pt>
                <c:pt idx="4">
                  <c:v>1.728608470181504E-2</c:v>
                </c:pt>
                <c:pt idx="5">
                  <c:v>1.9878997407087293E-2</c:v>
                </c:pt>
                <c:pt idx="6">
                  <c:v>6.3958513396715641E-2</c:v>
                </c:pt>
                <c:pt idx="7">
                  <c:v>5.0129645635263613E-2</c:v>
                </c:pt>
                <c:pt idx="8">
                  <c:v>4.5808124459809856E-2</c:v>
                </c:pt>
                <c:pt idx="9">
                  <c:v>1.2964563526361279E-2</c:v>
                </c:pt>
                <c:pt idx="10">
                  <c:v>7.5194468452895416E-2</c:v>
                </c:pt>
                <c:pt idx="11">
                  <c:v>5.9636992221261884E-2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DC-4549-BFE6-AE96A7D16127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'&lt;445 - Movie Theater (WisDOT)&gt;'!$D$7:$D$18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4.0000000000000001E-3</c:v>
                </c:pt>
                <c:pt idx="4">
                  <c:v>1.7000000000000001E-2</c:v>
                </c:pt>
                <c:pt idx="5">
                  <c:v>0.02</c:v>
                </c:pt>
                <c:pt idx="6">
                  <c:v>6.4000000000000001E-2</c:v>
                </c:pt>
                <c:pt idx="7">
                  <c:v>0.05</c:v>
                </c:pt>
                <c:pt idx="8">
                  <c:v>4.5999999999999999E-2</c:v>
                </c:pt>
                <c:pt idx="9">
                  <c:v>1.2999999999999999E-2</c:v>
                </c:pt>
                <c:pt idx="10">
                  <c:v>7.4999999999999997E-2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DC-4549-BFE6-AE96A7D16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89712"/>
        <c:axId val="206890104"/>
      </c:lineChart>
      <c:catAx>
        <c:axId val="20688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375000000000001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90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6667266591676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8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4999999999999"/>
          <c:y val="0.93904941882264714"/>
          <c:w val="0.59499999999999997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2299" name="Chart 1">
          <a:extLst>
            <a:ext uri="{FF2B5EF4-FFF2-40B4-BE49-F238E27FC236}">
              <a16:creationId xmlns:a16="http://schemas.microsoft.com/office/drawing/2014/main" id="{00000000-0008-0000-0200-00000B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2300" name="Chart 2">
          <a:extLst>
            <a:ext uri="{FF2B5EF4-FFF2-40B4-BE49-F238E27FC236}">
              <a16:creationId xmlns:a16="http://schemas.microsoft.com/office/drawing/2014/main" id="{00000000-0008-0000-0200-00000C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38923" name="Chart 1">
          <a:extLst>
            <a:ext uri="{FF2B5EF4-FFF2-40B4-BE49-F238E27FC236}">
              <a16:creationId xmlns:a16="http://schemas.microsoft.com/office/drawing/2014/main" id="{00000000-0008-0000-0C00-00000B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38924" name="Chart 2">
          <a:extLst>
            <a:ext uri="{FF2B5EF4-FFF2-40B4-BE49-F238E27FC236}">
              <a16:creationId xmlns:a16="http://schemas.microsoft.com/office/drawing/2014/main" id="{00000000-0008-0000-0C00-00000C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30731" name="Chart 1">
          <a:extLst>
            <a:ext uri="{FF2B5EF4-FFF2-40B4-BE49-F238E27FC236}">
              <a16:creationId xmlns:a16="http://schemas.microsoft.com/office/drawing/2014/main" id="{00000000-0008-0000-0D00-00000B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30732" name="Chart 2">
          <a:extLst>
            <a:ext uri="{FF2B5EF4-FFF2-40B4-BE49-F238E27FC236}">
              <a16:creationId xmlns:a16="http://schemas.microsoft.com/office/drawing/2014/main" id="{00000000-0008-0000-0D00-00000C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4</xdr:row>
      <xdr:rowOff>19050</xdr:rowOff>
    </xdr:from>
    <xdr:to>
      <xdr:col>25</xdr:col>
      <xdr:colOff>447675</xdr:colOff>
      <xdr:row>29</xdr:row>
      <xdr:rowOff>19050</xdr:rowOff>
    </xdr:to>
    <xdr:graphicFrame macro="">
      <xdr:nvGraphicFramePr>
        <xdr:cNvPr id="26638" name="Chart 3">
          <a:extLst>
            <a:ext uri="{FF2B5EF4-FFF2-40B4-BE49-F238E27FC236}">
              <a16:creationId xmlns:a16="http://schemas.microsoft.com/office/drawing/2014/main" id="{00000000-0008-0000-1100-00000E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32</xdr:row>
      <xdr:rowOff>0</xdr:rowOff>
    </xdr:from>
    <xdr:to>
      <xdr:col>25</xdr:col>
      <xdr:colOff>419100</xdr:colOff>
      <xdr:row>57</xdr:row>
      <xdr:rowOff>9525</xdr:rowOff>
    </xdr:to>
    <xdr:graphicFrame macro="">
      <xdr:nvGraphicFramePr>
        <xdr:cNvPr id="26639" name="Chart 4">
          <a:extLst>
            <a:ext uri="{FF2B5EF4-FFF2-40B4-BE49-F238E27FC236}">
              <a16:creationId xmlns:a16="http://schemas.microsoft.com/office/drawing/2014/main" id="{00000000-0008-0000-1100-00000F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43019" name="Chart 1">
          <a:extLst>
            <a:ext uri="{FF2B5EF4-FFF2-40B4-BE49-F238E27FC236}">
              <a16:creationId xmlns:a16="http://schemas.microsoft.com/office/drawing/2014/main" id="{00000000-0008-0000-1200-00000B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43020" name="Chart 2">
          <a:extLst>
            <a:ext uri="{FF2B5EF4-FFF2-40B4-BE49-F238E27FC236}">
              <a16:creationId xmlns:a16="http://schemas.microsoft.com/office/drawing/2014/main" id="{00000000-0008-0000-1200-00000C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7</xdr:row>
      <xdr:rowOff>95250</xdr:rowOff>
    </xdr:from>
    <xdr:to>
      <xdr:col>12</xdr:col>
      <xdr:colOff>133350</xdr:colOff>
      <xdr:row>24</xdr:row>
      <xdr:rowOff>38100</xdr:rowOff>
    </xdr:to>
    <xdr:graphicFrame macro="">
      <xdr:nvGraphicFramePr>
        <xdr:cNvPr id="22534" name="Chart 1">
          <a:extLst>
            <a:ext uri="{FF2B5EF4-FFF2-40B4-BE49-F238E27FC236}">
              <a16:creationId xmlns:a16="http://schemas.microsoft.com/office/drawing/2014/main" id="{00000000-0008-0000-13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</xdr:row>
      <xdr:rowOff>142875</xdr:rowOff>
    </xdr:from>
    <xdr:to>
      <xdr:col>25</xdr:col>
      <xdr:colOff>161925</xdr:colOff>
      <xdr:row>28</xdr:row>
      <xdr:rowOff>133350</xdr:rowOff>
    </xdr:to>
    <xdr:graphicFrame macro="">
      <xdr:nvGraphicFramePr>
        <xdr:cNvPr id="34827" name="Chart 1">
          <a:extLst>
            <a:ext uri="{FF2B5EF4-FFF2-40B4-BE49-F238E27FC236}">
              <a16:creationId xmlns:a16="http://schemas.microsoft.com/office/drawing/2014/main" id="{00000000-0008-0000-1600-00000B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31</xdr:row>
      <xdr:rowOff>28575</xdr:rowOff>
    </xdr:from>
    <xdr:to>
      <xdr:col>25</xdr:col>
      <xdr:colOff>104775</xdr:colOff>
      <xdr:row>56</xdr:row>
      <xdr:rowOff>38100</xdr:rowOff>
    </xdr:to>
    <xdr:graphicFrame macro="">
      <xdr:nvGraphicFramePr>
        <xdr:cNvPr id="34828" name="Chart 2">
          <a:extLst>
            <a:ext uri="{FF2B5EF4-FFF2-40B4-BE49-F238E27FC236}">
              <a16:creationId xmlns:a16="http://schemas.microsoft.com/office/drawing/2014/main" id="{00000000-0008-0000-1600-00000C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40971" name="Chart 1">
          <a:extLst>
            <a:ext uri="{FF2B5EF4-FFF2-40B4-BE49-F238E27FC236}">
              <a16:creationId xmlns:a16="http://schemas.microsoft.com/office/drawing/2014/main" id="{00000000-0008-0000-1700-00000B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40972" name="Chart 2">
          <a:extLst>
            <a:ext uri="{FF2B5EF4-FFF2-40B4-BE49-F238E27FC236}">
              <a16:creationId xmlns:a16="http://schemas.microsoft.com/office/drawing/2014/main" id="{00000000-0008-0000-1700-00000C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</xdr:row>
      <xdr:rowOff>40304</xdr:rowOff>
    </xdr:from>
    <xdr:to>
      <xdr:col>25</xdr:col>
      <xdr:colOff>161925</xdr:colOff>
      <xdr:row>32</xdr:row>
      <xdr:rowOff>45433</xdr:rowOff>
    </xdr:to>
    <xdr:graphicFrame macro="">
      <xdr:nvGraphicFramePr>
        <xdr:cNvPr id="27659" name="Chart 1">
          <a:extLst>
            <a:ext uri="{FF2B5EF4-FFF2-40B4-BE49-F238E27FC236}">
              <a16:creationId xmlns:a16="http://schemas.microsoft.com/office/drawing/2014/main" id="{00000000-0008-0000-1B00-00000B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34</xdr:row>
      <xdr:rowOff>101850</xdr:rowOff>
    </xdr:from>
    <xdr:to>
      <xdr:col>25</xdr:col>
      <xdr:colOff>104775</xdr:colOff>
      <xdr:row>59</xdr:row>
      <xdr:rowOff>96721</xdr:rowOff>
    </xdr:to>
    <xdr:graphicFrame macro="">
      <xdr:nvGraphicFramePr>
        <xdr:cNvPr id="27660" name="Chart 2">
          <a:extLst>
            <a:ext uri="{FF2B5EF4-FFF2-40B4-BE49-F238E27FC236}">
              <a16:creationId xmlns:a16="http://schemas.microsoft.com/office/drawing/2014/main" id="{00000000-0008-0000-1B00-00000C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37</xdr:row>
      <xdr:rowOff>57150</xdr:rowOff>
    </xdr:to>
    <xdr:graphicFrame macro="">
      <xdr:nvGraphicFramePr>
        <xdr:cNvPr id="47115" name="Chart 1">
          <a:extLst>
            <a:ext uri="{FF2B5EF4-FFF2-40B4-BE49-F238E27FC236}">
              <a16:creationId xmlns:a16="http://schemas.microsoft.com/office/drawing/2014/main" id="{00000000-0008-0000-1C00-00000B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40</xdr:row>
      <xdr:rowOff>0</xdr:rowOff>
    </xdr:from>
    <xdr:to>
      <xdr:col>25</xdr:col>
      <xdr:colOff>266700</xdr:colOff>
      <xdr:row>68</xdr:row>
      <xdr:rowOff>0</xdr:rowOff>
    </xdr:to>
    <xdr:graphicFrame macro="">
      <xdr:nvGraphicFramePr>
        <xdr:cNvPr id="47116" name="Chart 2">
          <a:extLst>
            <a:ext uri="{FF2B5EF4-FFF2-40B4-BE49-F238E27FC236}">
              <a16:creationId xmlns:a16="http://schemas.microsoft.com/office/drawing/2014/main" id="{00000000-0008-0000-1C00-00000C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28</xdr:row>
      <xdr:rowOff>0</xdr:rowOff>
    </xdr:from>
    <xdr:to>
      <xdr:col>24</xdr:col>
      <xdr:colOff>504825</xdr:colOff>
      <xdr:row>50</xdr:row>
      <xdr:rowOff>66675</xdr:rowOff>
    </xdr:to>
    <xdr:graphicFrame macro="">
      <xdr:nvGraphicFramePr>
        <xdr:cNvPr id="36875" name="Chart 1">
          <a:extLst>
            <a:ext uri="{FF2B5EF4-FFF2-40B4-BE49-F238E27FC236}">
              <a16:creationId xmlns:a16="http://schemas.microsoft.com/office/drawing/2014/main" id="{00000000-0008-0000-1D00-00000B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4</xdr:row>
      <xdr:rowOff>9525</xdr:rowOff>
    </xdr:from>
    <xdr:to>
      <xdr:col>24</xdr:col>
      <xdr:colOff>352425</xdr:colOff>
      <xdr:row>25</xdr:row>
      <xdr:rowOff>85725</xdr:rowOff>
    </xdr:to>
    <xdr:graphicFrame macro="">
      <xdr:nvGraphicFramePr>
        <xdr:cNvPr id="36876" name="Chart 2">
          <a:extLst>
            <a:ext uri="{FF2B5EF4-FFF2-40B4-BE49-F238E27FC236}">
              <a16:creationId xmlns:a16="http://schemas.microsoft.com/office/drawing/2014/main" id="{00000000-0008-0000-1D00-00000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0251" name="Chart 1">
          <a:extLst>
            <a:ext uri="{FF2B5EF4-FFF2-40B4-BE49-F238E27FC236}">
              <a16:creationId xmlns:a16="http://schemas.microsoft.com/office/drawing/2014/main" id="{00000000-0008-0000-03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0252" name="Chart 2">
          <a:extLst>
            <a:ext uri="{FF2B5EF4-FFF2-40B4-BE49-F238E27FC236}">
              <a16:creationId xmlns:a16="http://schemas.microsoft.com/office/drawing/2014/main" id="{00000000-0008-0000-03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3</xdr:row>
      <xdr:rowOff>38100</xdr:rowOff>
    </xdr:from>
    <xdr:to>
      <xdr:col>12</xdr:col>
      <xdr:colOff>295275</xdr:colOff>
      <xdr:row>27</xdr:row>
      <xdr:rowOff>38100</xdr:rowOff>
    </xdr:to>
    <xdr:graphicFrame macro="">
      <xdr:nvGraphicFramePr>
        <xdr:cNvPr id="25607" name="Chart 2">
          <a:extLst>
            <a:ext uri="{FF2B5EF4-FFF2-40B4-BE49-F238E27FC236}">
              <a16:creationId xmlns:a16="http://schemas.microsoft.com/office/drawing/2014/main" id="{00000000-0008-0000-1E00-000007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45067" name="Chart 1">
          <a:extLst>
            <a:ext uri="{FF2B5EF4-FFF2-40B4-BE49-F238E27FC236}">
              <a16:creationId xmlns:a16="http://schemas.microsoft.com/office/drawing/2014/main" id="{00000000-0008-0000-1F00-00000B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45068" name="Chart 2">
          <a:extLst>
            <a:ext uri="{FF2B5EF4-FFF2-40B4-BE49-F238E27FC236}">
              <a16:creationId xmlns:a16="http://schemas.microsoft.com/office/drawing/2014/main" id="{00000000-0008-0000-1F00-00000C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8443" name="Chart 1">
          <a:extLst>
            <a:ext uri="{FF2B5EF4-FFF2-40B4-BE49-F238E27FC236}">
              <a16:creationId xmlns:a16="http://schemas.microsoft.com/office/drawing/2014/main" id="{00000000-0008-0000-2000-00000B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8444" name="Chart 2">
          <a:extLst>
            <a:ext uri="{FF2B5EF4-FFF2-40B4-BE49-F238E27FC236}">
              <a16:creationId xmlns:a16="http://schemas.microsoft.com/office/drawing/2014/main" id="{00000000-0008-0000-2000-00000C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28684" name="Chart 1">
          <a:extLst>
            <a:ext uri="{FF2B5EF4-FFF2-40B4-BE49-F238E27FC236}">
              <a16:creationId xmlns:a16="http://schemas.microsoft.com/office/drawing/2014/main" id="{00000000-0008-0000-0500-00000C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28685" name="Chart 2">
          <a:extLst>
            <a:ext uri="{FF2B5EF4-FFF2-40B4-BE49-F238E27FC236}">
              <a16:creationId xmlns:a16="http://schemas.microsoft.com/office/drawing/2014/main" id="{00000000-0008-0000-0500-00000D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4347" name="Chart 1025">
          <a:extLst>
            <a:ext uri="{FF2B5EF4-FFF2-40B4-BE49-F238E27FC236}">
              <a16:creationId xmlns:a16="http://schemas.microsoft.com/office/drawing/2014/main" id="{00000000-0008-0000-06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4348" name="Chart 1026">
          <a:extLst>
            <a:ext uri="{FF2B5EF4-FFF2-40B4-BE49-F238E27FC236}">
              <a16:creationId xmlns:a16="http://schemas.microsoft.com/office/drawing/2014/main" id="{00000000-0008-0000-06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20491" name="Chart 1">
          <a:extLst>
            <a:ext uri="{FF2B5EF4-FFF2-40B4-BE49-F238E27FC236}">
              <a16:creationId xmlns:a16="http://schemas.microsoft.com/office/drawing/2014/main" id="{00000000-0008-0000-0800-00000B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20492" name="Chart 2">
          <a:extLst>
            <a:ext uri="{FF2B5EF4-FFF2-40B4-BE49-F238E27FC236}">
              <a16:creationId xmlns:a16="http://schemas.microsoft.com/office/drawing/2014/main" id="{00000000-0008-0000-0800-00000C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</xdr:row>
      <xdr:rowOff>142875</xdr:rowOff>
    </xdr:from>
    <xdr:to>
      <xdr:col>25</xdr:col>
      <xdr:colOff>161925</xdr:colOff>
      <xdr:row>28</xdr:row>
      <xdr:rowOff>133350</xdr:rowOff>
    </xdr:to>
    <xdr:graphicFrame macro="">
      <xdr:nvGraphicFramePr>
        <xdr:cNvPr id="49163" name="Chart 1">
          <a:extLst>
            <a:ext uri="{FF2B5EF4-FFF2-40B4-BE49-F238E27FC236}">
              <a16:creationId xmlns:a16="http://schemas.microsoft.com/office/drawing/2014/main" id="{00000000-0008-0000-0900-00000B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31</xdr:row>
      <xdr:rowOff>28575</xdr:rowOff>
    </xdr:from>
    <xdr:to>
      <xdr:col>25</xdr:col>
      <xdr:colOff>104775</xdr:colOff>
      <xdr:row>56</xdr:row>
      <xdr:rowOff>38100</xdr:rowOff>
    </xdr:to>
    <xdr:graphicFrame macro="">
      <xdr:nvGraphicFramePr>
        <xdr:cNvPr id="49164" name="Chart 2">
          <a:extLst>
            <a:ext uri="{FF2B5EF4-FFF2-40B4-BE49-F238E27FC236}">
              <a16:creationId xmlns:a16="http://schemas.microsoft.com/office/drawing/2014/main" id="{00000000-0008-0000-0900-00000C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3</xdr:row>
      <xdr:rowOff>114300</xdr:rowOff>
    </xdr:from>
    <xdr:to>
      <xdr:col>23</xdr:col>
      <xdr:colOff>514350</xdr:colOff>
      <xdr:row>31</xdr:row>
      <xdr:rowOff>104775</xdr:rowOff>
    </xdr:to>
    <xdr:graphicFrame macro="">
      <xdr:nvGraphicFramePr>
        <xdr:cNvPr id="2059" name="Chart 1">
          <a:extLst>
            <a:ext uri="{FF2B5EF4-FFF2-40B4-BE49-F238E27FC236}">
              <a16:creationId xmlns:a16="http://schemas.microsoft.com/office/drawing/2014/main" id="{00000000-0008-0000-0A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390525</xdr:colOff>
      <xdr:row>32</xdr:row>
      <xdr:rowOff>104775</xdr:rowOff>
    </xdr:from>
    <xdr:to>
      <xdr:col>23</xdr:col>
      <xdr:colOff>561975</xdr:colOff>
      <xdr:row>51</xdr:row>
      <xdr:rowOff>95250</xdr:rowOff>
    </xdr:to>
    <xdr:graphicFrame macro="">
      <xdr:nvGraphicFramePr>
        <xdr:cNvPr id="2060" name="Chart 2">
          <a:extLst>
            <a:ext uri="{FF2B5EF4-FFF2-40B4-BE49-F238E27FC236}">
              <a16:creationId xmlns:a16="http://schemas.microsoft.com/office/drawing/2014/main" id="{00000000-0008-0000-0A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0.39448</cdr:x>
      <cdr:y>0.22821</cdr:y>
    </cdr:from>
    <cdr:to>
      <cdr:x>0.67899</cdr:x>
      <cdr:y>0.30705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6047" y="1059593"/>
          <a:ext cx="1956550" cy="364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WisDOT proposed based school hours of 7:25 am to 2:30 pm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0.12624</cdr:x>
      <cdr:y>0.20421</cdr:y>
    </cdr:from>
    <cdr:to>
      <cdr:x>0.41272</cdr:x>
      <cdr:y>0.28883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550" y="647017"/>
          <a:ext cx="1972880" cy="266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WisDOT proposed based school hours of 7:25 am to 2:30 pm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5"/>
  <sheetViews>
    <sheetView tabSelected="1" zoomScaleNormal="100" workbookViewId="0">
      <selection activeCell="D5" sqref="D5:G6"/>
    </sheetView>
  </sheetViews>
  <sheetFormatPr defaultRowHeight="12.75" x14ac:dyDescent="0.2"/>
  <cols>
    <col min="1" max="1" width="9.140625" style="130"/>
    <col min="2" max="2" width="10.7109375" style="130" customWidth="1"/>
    <col min="3" max="4" width="12.7109375" style="130" customWidth="1"/>
    <col min="5" max="5" width="10.7109375" style="130" customWidth="1"/>
    <col min="6" max="7" width="12.7109375" style="130" customWidth="1"/>
    <col min="8" max="8" width="2.7109375" style="130" customWidth="1"/>
    <col min="9" max="9" width="10.7109375" style="130" customWidth="1"/>
    <col min="10" max="11" width="12.7109375" style="130" customWidth="1"/>
    <col min="12" max="12" width="10.7109375" style="130" customWidth="1"/>
    <col min="13" max="14" width="12.7109375" style="130" customWidth="1"/>
    <col min="15" max="15" width="2.7109375" style="130" customWidth="1"/>
    <col min="16" max="16" width="10.7109375" style="130" customWidth="1"/>
    <col min="17" max="18" width="12.7109375" style="130" customWidth="1"/>
    <col min="19" max="19" width="10.7109375" style="130" customWidth="1"/>
    <col min="20" max="21" width="12.7109375" style="130" customWidth="1"/>
    <col min="22" max="16384" width="9.140625" style="130"/>
  </cols>
  <sheetData>
    <row r="2" spans="2:21" x14ac:dyDescent="0.2">
      <c r="B2" s="232" t="s">
        <v>213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2:21" x14ac:dyDescent="0.2"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</row>
    <row r="5" spans="2:21" x14ac:dyDescent="0.2">
      <c r="B5" s="234" t="s">
        <v>212</v>
      </c>
      <c r="C5" s="234"/>
      <c r="D5" s="235" t="s">
        <v>170</v>
      </c>
      <c r="E5" s="235"/>
      <c r="F5" s="235"/>
      <c r="G5" s="235"/>
    </row>
    <row r="6" spans="2:21" x14ac:dyDescent="0.2">
      <c r="B6" s="234"/>
      <c r="C6" s="234"/>
      <c r="D6" s="235"/>
      <c r="E6" s="235"/>
      <c r="F6" s="235"/>
      <c r="G6" s="235"/>
    </row>
    <row r="8" spans="2:21" ht="13.5" thickBot="1" x14ac:dyDescent="0.25">
      <c r="B8" s="241" t="s">
        <v>187</v>
      </c>
      <c r="C8" s="241"/>
      <c r="D8" s="241"/>
      <c r="E8" s="241"/>
      <c r="F8" s="241"/>
      <c r="G8" s="241"/>
      <c r="H8" s="185"/>
      <c r="I8" s="241" t="s">
        <v>188</v>
      </c>
      <c r="J8" s="241"/>
      <c r="K8" s="241"/>
      <c r="L8" s="241"/>
      <c r="M8" s="241"/>
      <c r="N8" s="241"/>
      <c r="O8" s="185"/>
      <c r="P8" s="241" t="s">
        <v>189</v>
      </c>
      <c r="Q8" s="241"/>
      <c r="R8" s="241"/>
      <c r="S8" s="241"/>
      <c r="T8" s="241"/>
      <c r="U8" s="241"/>
    </row>
    <row r="9" spans="2:21" ht="14.25" thickTop="1" thickBot="1" x14ac:dyDescent="0.25">
      <c r="B9" s="236" t="s">
        <v>210</v>
      </c>
      <c r="C9" s="237"/>
      <c r="D9" s="238"/>
      <c r="E9" s="239" t="s">
        <v>211</v>
      </c>
      <c r="F9" s="237"/>
      <c r="G9" s="240"/>
      <c r="H9" s="187"/>
      <c r="I9" s="236" t="s">
        <v>210</v>
      </c>
      <c r="J9" s="237"/>
      <c r="K9" s="238"/>
      <c r="L9" s="239" t="s">
        <v>211</v>
      </c>
      <c r="M9" s="237"/>
      <c r="N9" s="240"/>
      <c r="O9" s="187"/>
      <c r="P9" s="236" t="s">
        <v>210</v>
      </c>
      <c r="Q9" s="237"/>
      <c r="R9" s="238"/>
      <c r="S9" s="239" t="s">
        <v>211</v>
      </c>
      <c r="T9" s="237"/>
      <c r="U9" s="240"/>
    </row>
    <row r="10" spans="2:21" ht="13.5" thickBot="1" x14ac:dyDescent="0.25">
      <c r="B10" s="199" t="s">
        <v>0</v>
      </c>
      <c r="C10" s="189" t="s">
        <v>38</v>
      </c>
      <c r="D10" s="188" t="s">
        <v>39</v>
      </c>
      <c r="E10" s="198" t="s">
        <v>0</v>
      </c>
      <c r="F10" s="189" t="s">
        <v>38</v>
      </c>
      <c r="G10" s="190" t="s">
        <v>39</v>
      </c>
      <c r="H10" s="187"/>
      <c r="I10" s="198" t="s">
        <v>0</v>
      </c>
      <c r="J10" s="189" t="s">
        <v>38</v>
      </c>
      <c r="K10" s="188" t="s">
        <v>39</v>
      </c>
      <c r="L10" s="198" t="s">
        <v>0</v>
      </c>
      <c r="M10" s="189" t="s">
        <v>38</v>
      </c>
      <c r="N10" s="191" t="s">
        <v>39</v>
      </c>
      <c r="O10" s="187"/>
      <c r="P10" s="198" t="s">
        <v>0</v>
      </c>
      <c r="Q10" s="189" t="s">
        <v>38</v>
      </c>
      <c r="R10" s="188" t="s">
        <v>39</v>
      </c>
      <c r="S10" s="200" t="s">
        <v>0</v>
      </c>
      <c r="T10" s="189" t="s">
        <v>38</v>
      </c>
      <c r="U10" s="191" t="s">
        <v>39</v>
      </c>
    </row>
    <row r="11" spans="2:21" x14ac:dyDescent="0.2">
      <c r="B11" s="134" t="s">
        <v>26</v>
      </c>
      <c r="C11" s="223">
        <f>LOOKUP($D$5,'Distribution Summary'!$B$4:$Z$4,'Distribution Summary'!B6:Z6)</f>
        <v>7.2099999999999997E-2</v>
      </c>
      <c r="D11" s="226">
        <f>LOOKUP($D$5,'Distribution Summary'!$B$4:$Z$4,'Distribution Summary'!B25:Z25)</f>
        <v>7.0000000000000001E-3</v>
      </c>
      <c r="E11" s="193" t="s">
        <v>26</v>
      </c>
      <c r="F11" s="223">
        <f>LOOKUP($D$5,'Distribution Summary'!$B$47:$Z$47,'Distribution Summary'!B49:Z49)</f>
        <v>0.14499999999999999</v>
      </c>
      <c r="G11" s="228">
        <f>LOOKUP($D$5,'Distribution Summary'!$B$47:$Z$47,'Distribution Summary'!B68:Z68)</f>
        <v>2.5999999999999999E-2</v>
      </c>
      <c r="H11" s="186"/>
      <c r="I11" s="193" t="s">
        <v>26</v>
      </c>
      <c r="J11" s="223" t="str">
        <f>LOOKUP($D$5,'Distribution Summary'!$B$90:$Z$90,'Distribution Summary'!B92:Z92)</f>
        <v>-</v>
      </c>
      <c r="K11" s="226" t="str">
        <f>LOOKUP($D$5,'Distribution Summary'!$B$90:$Z$90,'Distribution Summary'!B111:Z111)</f>
        <v>-</v>
      </c>
      <c r="L11" s="193" t="s">
        <v>26</v>
      </c>
      <c r="M11" s="223" t="str">
        <f>LOOKUP($D$5,'Distribution Summary'!$B$133:$Z$133,'Distribution Summary'!B135:Z135)</f>
        <v>-</v>
      </c>
      <c r="N11" s="228" t="str">
        <f>LOOKUP($D$5,'Distribution Summary'!$B$133:$Z$133,'Distribution Summary'!B154:Z154)</f>
        <v>-</v>
      </c>
      <c r="O11" s="186"/>
      <c r="P11" s="193" t="s">
        <v>26</v>
      </c>
      <c r="Q11" s="223" t="str">
        <f>LOOKUP($D$5,'Distribution Summary'!$B$176:$Z$176,'Distribution Summary'!B178:Z178)</f>
        <v>-</v>
      </c>
      <c r="R11" s="226" t="str">
        <f>LOOKUP($D$5,'Distribution Summary'!$B$176:$Z$176,'Distribution Summary'!B197:Z197)</f>
        <v>-</v>
      </c>
      <c r="S11" s="193" t="s">
        <v>26</v>
      </c>
      <c r="T11" s="223" t="str">
        <f>LOOKUP($D$5,'Distribution Summary'!$B$219:$Z$219,'Distribution Summary'!B221:Z221)</f>
        <v>-</v>
      </c>
      <c r="U11" s="228" t="str">
        <f>LOOKUP($D$5,'Distribution Summary'!$B$219:$Z$219,'Distribution Summary'!B240:Z240)</f>
        <v>-</v>
      </c>
    </row>
    <row r="12" spans="2:21" x14ac:dyDescent="0.2">
      <c r="B12" s="135" t="s">
        <v>27</v>
      </c>
      <c r="C12" s="224">
        <f>LOOKUP($D$5,'Distribution Summary'!$B$4:$Z$4,'Distribution Summary'!B7:Z7)</f>
        <v>0.1804</v>
      </c>
      <c r="D12" s="208">
        <f>LOOKUP($D$5,'Distribution Summary'!$B$4:$Z$4,'Distribution Summary'!B26:Z26)</f>
        <v>2.29E-2</v>
      </c>
      <c r="E12" s="194" t="s">
        <v>27</v>
      </c>
      <c r="F12" s="230">
        <f>LOOKUP($D$5,'Distribution Summary'!$B$47:$Z$47,'Distribution Summary'!B50:Z50)</f>
        <v>0.108</v>
      </c>
      <c r="G12" s="211">
        <f>LOOKUP($D$5,'Distribution Summary'!$B$47:$Z$47,'Distribution Summary'!B69:Z69)</f>
        <v>4.1000000000000002E-2</v>
      </c>
      <c r="H12" s="186"/>
      <c r="I12" s="194" t="s">
        <v>27</v>
      </c>
      <c r="J12" s="230" t="str">
        <f>LOOKUP($D$5,'Distribution Summary'!$B$90:$Z$90,'Distribution Summary'!B93:Z93)</f>
        <v>-</v>
      </c>
      <c r="K12" s="209" t="str">
        <f>LOOKUP($D$5,'Distribution Summary'!$B$90:$Z$90,'Distribution Summary'!B112:Z112)</f>
        <v>-</v>
      </c>
      <c r="L12" s="194" t="s">
        <v>27</v>
      </c>
      <c r="M12" s="230" t="str">
        <f>LOOKUP($D$5,'Distribution Summary'!$B$133:$Z$133,'Distribution Summary'!B136:Z136)</f>
        <v>-</v>
      </c>
      <c r="N12" s="211" t="str">
        <f>LOOKUP($D$5,'Distribution Summary'!$B$133:$Z$133,'Distribution Summary'!B155:Z155)</f>
        <v>-</v>
      </c>
      <c r="O12" s="186"/>
      <c r="P12" s="194" t="s">
        <v>27</v>
      </c>
      <c r="Q12" s="230" t="str">
        <f>LOOKUP($D$5,'Distribution Summary'!$B$176:$Z$176,'Distribution Summary'!B179:Z179)</f>
        <v>-</v>
      </c>
      <c r="R12" s="209" t="str">
        <f>LOOKUP($D$5,'Distribution Summary'!$B$176:$Z$176,'Distribution Summary'!B198:Z198)</f>
        <v>-</v>
      </c>
      <c r="S12" s="194" t="s">
        <v>27</v>
      </c>
      <c r="T12" s="230" t="str">
        <f>LOOKUP($D$5,'Distribution Summary'!$B$219:$Z$219,'Distribution Summary'!B222:Z222)</f>
        <v>-</v>
      </c>
      <c r="U12" s="211" t="str">
        <f>LOOKUP($D$5,'Distribution Summary'!$B$219:$Z$219,'Distribution Summary'!B241:Z241)</f>
        <v>-</v>
      </c>
    </row>
    <row r="13" spans="2:21" x14ac:dyDescent="0.2">
      <c r="B13" s="135" t="s">
        <v>28</v>
      </c>
      <c r="C13" s="224">
        <f>LOOKUP($D$5,'Distribution Summary'!$B$4:$Z$4,'Distribution Summary'!B8:Z8)</f>
        <v>0.1082</v>
      </c>
      <c r="D13" s="208">
        <f>LOOKUP($D$5,'Distribution Summary'!$B$4:$Z$4,'Distribution Summary'!B27:Z27)</f>
        <v>4.58E-2</v>
      </c>
      <c r="E13" s="194" t="s">
        <v>28</v>
      </c>
      <c r="F13" s="230">
        <f>LOOKUP($D$5,'Distribution Summary'!$B$47:$Z$47,'Distribution Summary'!B51:Z51)</f>
        <v>6.9000000000000006E-2</v>
      </c>
      <c r="G13" s="211">
        <f>LOOKUP($D$5,'Distribution Summary'!$B$47:$Z$47,'Distribution Summary'!B70:Z70)</f>
        <v>0.03</v>
      </c>
      <c r="H13" s="186"/>
      <c r="I13" s="194" t="s">
        <v>28</v>
      </c>
      <c r="J13" s="230" t="str">
        <f>LOOKUP($D$5,'Distribution Summary'!$B$90:$Z$90,'Distribution Summary'!B94:Z94)</f>
        <v>-</v>
      </c>
      <c r="K13" s="209" t="str">
        <f>LOOKUP($D$5,'Distribution Summary'!$B$90:$Z$90,'Distribution Summary'!B113:Z113)</f>
        <v>-</v>
      </c>
      <c r="L13" s="194" t="s">
        <v>28</v>
      </c>
      <c r="M13" s="230" t="str">
        <f>LOOKUP($D$5,'Distribution Summary'!$B$133:$Z$133,'Distribution Summary'!B137:Z137)</f>
        <v>-</v>
      </c>
      <c r="N13" s="211" t="str">
        <f>LOOKUP($D$5,'Distribution Summary'!$B$133:$Z$133,'Distribution Summary'!B156:Z156)</f>
        <v>-</v>
      </c>
      <c r="O13" s="186"/>
      <c r="P13" s="194" t="s">
        <v>28</v>
      </c>
      <c r="Q13" s="230" t="str">
        <f>LOOKUP($D$5,'Distribution Summary'!$B$176:$Z$176,'Distribution Summary'!B180:Z180)</f>
        <v>-</v>
      </c>
      <c r="R13" s="209" t="str">
        <f>LOOKUP($D$5,'Distribution Summary'!$B$176:$Z$176,'Distribution Summary'!B199:Z199)</f>
        <v>-</v>
      </c>
      <c r="S13" s="194" t="s">
        <v>28</v>
      </c>
      <c r="T13" s="230" t="str">
        <f>LOOKUP($D$5,'Distribution Summary'!$B$219:$Z$219,'Distribution Summary'!B223:Z223)</f>
        <v>-</v>
      </c>
      <c r="U13" s="211" t="str">
        <f>LOOKUP($D$5,'Distribution Summary'!$B$219:$Z$219,'Distribution Summary'!B242:Z242)</f>
        <v>-</v>
      </c>
    </row>
    <row r="14" spans="2:21" x14ac:dyDescent="0.2">
      <c r="B14" s="135" t="s">
        <v>29</v>
      </c>
      <c r="C14" s="224">
        <f>LOOKUP($D$5,'Distribution Summary'!$B$4:$Z$4,'Distribution Summary'!B9:Z9)</f>
        <v>7.3099999999999998E-2</v>
      </c>
      <c r="D14" s="208">
        <f>LOOKUP($D$5,'Distribution Summary'!$B$4:$Z$4,'Distribution Summary'!B28:Z28)</f>
        <v>7.2599999999999998E-2</v>
      </c>
      <c r="E14" s="194" t="s">
        <v>29</v>
      </c>
      <c r="F14" s="230">
        <f>LOOKUP($D$5,'Distribution Summary'!$B$47:$Z$47,'Distribution Summary'!B52:Z52)</f>
        <v>3.6999999999999998E-2</v>
      </c>
      <c r="G14" s="211">
        <f>LOOKUP($D$5,'Distribution Summary'!$B$47:$Z$47,'Distribution Summary'!B71:Z71)</f>
        <v>3.1E-2</v>
      </c>
      <c r="H14" s="186"/>
      <c r="I14" s="194" t="s">
        <v>29</v>
      </c>
      <c r="J14" s="230" t="str">
        <f>LOOKUP($D$5,'Distribution Summary'!$B$90:$Z$90,'Distribution Summary'!B95:Z95)</f>
        <v>-</v>
      </c>
      <c r="K14" s="209" t="str">
        <f>LOOKUP($D$5,'Distribution Summary'!$B$90:$Z$90,'Distribution Summary'!B114:Z114)</f>
        <v>-</v>
      </c>
      <c r="L14" s="194" t="s">
        <v>29</v>
      </c>
      <c r="M14" s="230" t="str">
        <f>LOOKUP($D$5,'Distribution Summary'!$B$133:$Z$133,'Distribution Summary'!B138:Z138)</f>
        <v>-</v>
      </c>
      <c r="N14" s="211" t="str">
        <f>LOOKUP($D$5,'Distribution Summary'!$B$133:$Z$133,'Distribution Summary'!B157:Z157)</f>
        <v>-</v>
      </c>
      <c r="O14" s="186"/>
      <c r="P14" s="194" t="s">
        <v>29</v>
      </c>
      <c r="Q14" s="230" t="str">
        <f>LOOKUP($D$5,'Distribution Summary'!$B$176:$Z$176,'Distribution Summary'!B181:Z181)</f>
        <v>-</v>
      </c>
      <c r="R14" s="209" t="str">
        <f>LOOKUP($D$5,'Distribution Summary'!$B$176:$Z$176,'Distribution Summary'!B200:Z200)</f>
        <v>-</v>
      </c>
      <c r="S14" s="194" t="s">
        <v>29</v>
      </c>
      <c r="T14" s="230" t="str">
        <f>LOOKUP($D$5,'Distribution Summary'!$B$219:$Z$219,'Distribution Summary'!B224:Z224)</f>
        <v>-</v>
      </c>
      <c r="U14" s="211" t="str">
        <f>LOOKUP($D$5,'Distribution Summary'!$B$219:$Z$219,'Distribution Summary'!B243:Z243)</f>
        <v>-</v>
      </c>
    </row>
    <row r="15" spans="2:21" x14ac:dyDescent="0.2">
      <c r="B15" s="135" t="s">
        <v>30</v>
      </c>
      <c r="C15" s="224">
        <f>LOOKUP($D$5,'Distribution Summary'!$B$4:$Z$4,'Distribution Summary'!B10:Z10)</f>
        <v>7.7200000000000005E-2</v>
      </c>
      <c r="D15" s="208">
        <f>LOOKUP($D$5,'Distribution Summary'!$B$4:$Z$4,'Distribution Summary'!B29:Z29)</f>
        <v>7.7600000000000002E-2</v>
      </c>
      <c r="E15" s="194" t="s">
        <v>30</v>
      </c>
      <c r="F15" s="230">
        <f>LOOKUP($D$5,'Distribution Summary'!$B$47:$Z$47,'Distribution Summary'!B53:Z53)</f>
        <v>3.5000000000000003E-2</v>
      </c>
      <c r="G15" s="211">
        <f>LOOKUP($D$5,'Distribution Summary'!$B$47:$Z$47,'Distribution Summary'!B72:Z72)</f>
        <v>3.9E-2</v>
      </c>
      <c r="H15" s="186"/>
      <c r="I15" s="194" t="s">
        <v>30</v>
      </c>
      <c r="J15" s="230" t="str">
        <f>LOOKUP($D$5,'Distribution Summary'!$B$90:$Z$90,'Distribution Summary'!B96:Z96)</f>
        <v>-</v>
      </c>
      <c r="K15" s="209" t="str">
        <f>LOOKUP($D$5,'Distribution Summary'!$B$90:$Z$90,'Distribution Summary'!B115:Z115)</f>
        <v>-</v>
      </c>
      <c r="L15" s="194" t="s">
        <v>30</v>
      </c>
      <c r="M15" s="230" t="str">
        <f>LOOKUP($D$5,'Distribution Summary'!$B$133:$Z$133,'Distribution Summary'!B139:Z139)</f>
        <v>-</v>
      </c>
      <c r="N15" s="211" t="str">
        <f>LOOKUP($D$5,'Distribution Summary'!$B$133:$Z$133,'Distribution Summary'!B158:Z158)</f>
        <v>-</v>
      </c>
      <c r="O15" s="186"/>
      <c r="P15" s="194" t="s">
        <v>30</v>
      </c>
      <c r="Q15" s="230" t="str">
        <f>LOOKUP($D$5,'Distribution Summary'!$B$176:$Z$176,'Distribution Summary'!B182:Z182)</f>
        <v>-</v>
      </c>
      <c r="R15" s="209" t="str">
        <f>LOOKUP($D$5,'Distribution Summary'!$B$176:$Z$176,'Distribution Summary'!B201:Z201)</f>
        <v>-</v>
      </c>
      <c r="S15" s="194" t="s">
        <v>30</v>
      </c>
      <c r="T15" s="230" t="str">
        <f>LOOKUP($D$5,'Distribution Summary'!$B$219:$Z$219,'Distribution Summary'!B225:Z225)</f>
        <v>-</v>
      </c>
      <c r="U15" s="211" t="str">
        <f>LOOKUP($D$5,'Distribution Summary'!$B$219:$Z$219,'Distribution Summary'!B244:Z244)</f>
        <v>-</v>
      </c>
    </row>
    <row r="16" spans="2:21" x14ac:dyDescent="0.2">
      <c r="B16" s="135" t="s">
        <v>37</v>
      </c>
      <c r="C16" s="224">
        <f>LOOKUP($D$5,'Distribution Summary'!$B$4:$Z$4,'Distribution Summary'!B11:Z11)</f>
        <v>6.5100000000000005E-2</v>
      </c>
      <c r="D16" s="208">
        <f>LOOKUP($D$5,'Distribution Summary'!$B$4:$Z$4,'Distribution Summary'!B30:Z30)</f>
        <v>8.4600000000000009E-2</v>
      </c>
      <c r="E16" s="194" t="s">
        <v>37</v>
      </c>
      <c r="F16" s="230">
        <f>LOOKUP($D$5,'Distribution Summary'!$B$47:$Z$47,'Distribution Summary'!B54:Z54)</f>
        <v>4.7E-2</v>
      </c>
      <c r="G16" s="211">
        <f>LOOKUP($D$5,'Distribution Summary'!$B$47:$Z$47,'Distribution Summary'!B73:Z73)</f>
        <v>5.8999999999999997E-2</v>
      </c>
      <c r="H16" s="186"/>
      <c r="I16" s="194" t="s">
        <v>37</v>
      </c>
      <c r="J16" s="230" t="str">
        <f>LOOKUP($D$5,'Distribution Summary'!$B$90:$Z$90,'Distribution Summary'!B97:Z97)</f>
        <v>-</v>
      </c>
      <c r="K16" s="209" t="str">
        <f>LOOKUP($D$5,'Distribution Summary'!$B$90:$Z$90,'Distribution Summary'!B116:Z116)</f>
        <v>-</v>
      </c>
      <c r="L16" s="194" t="s">
        <v>37</v>
      </c>
      <c r="M16" s="230" t="str">
        <f>LOOKUP($D$5,'Distribution Summary'!$B$133:$Z$133,'Distribution Summary'!B140:Z140)</f>
        <v>-</v>
      </c>
      <c r="N16" s="211" t="str">
        <f>LOOKUP($D$5,'Distribution Summary'!$B$133:$Z$133,'Distribution Summary'!B159:Z159)</f>
        <v>-</v>
      </c>
      <c r="O16" s="186"/>
      <c r="P16" s="194" t="s">
        <v>37</v>
      </c>
      <c r="Q16" s="230" t="str">
        <f>LOOKUP($D$5,'Distribution Summary'!$B$176:$Z$176,'Distribution Summary'!B183:Z183)</f>
        <v>-</v>
      </c>
      <c r="R16" s="209" t="str">
        <f>LOOKUP($D$5,'Distribution Summary'!$B$176:$Z$176,'Distribution Summary'!B202:Z202)</f>
        <v>-</v>
      </c>
      <c r="S16" s="194" t="s">
        <v>37</v>
      </c>
      <c r="T16" s="230" t="str">
        <f>LOOKUP($D$5,'Distribution Summary'!$B$219:$Z$219,'Distribution Summary'!B226:Z226)</f>
        <v>-</v>
      </c>
      <c r="U16" s="211" t="str">
        <f>LOOKUP($D$5,'Distribution Summary'!$B$219:$Z$219,'Distribution Summary'!B245:Z245)</f>
        <v>-</v>
      </c>
    </row>
    <row r="17" spans="2:21" x14ac:dyDescent="0.2">
      <c r="B17" s="135" t="s">
        <v>31</v>
      </c>
      <c r="C17" s="224">
        <f>LOOKUP($D$5,'Distribution Summary'!$B$4:$Z$4,'Distribution Summary'!B12:Z12)</f>
        <v>9.0200000000000002E-2</v>
      </c>
      <c r="D17" s="208">
        <f>LOOKUP($D$5,'Distribution Summary'!$B$4:$Z$4,'Distribution Summary'!B31:Z31)</f>
        <v>0.1085</v>
      </c>
      <c r="E17" s="194" t="s">
        <v>31</v>
      </c>
      <c r="F17" s="230">
        <f>LOOKUP($D$5,'Distribution Summary'!$B$47:$Z$47,'Distribution Summary'!B55:Z55)</f>
        <v>7.0000000000000007E-2</v>
      </c>
      <c r="G17" s="211">
        <f>LOOKUP($D$5,'Distribution Summary'!$B$47:$Z$47,'Distribution Summary'!B74:Z74)</f>
        <v>7.0000000000000007E-2</v>
      </c>
      <c r="H17" s="186"/>
      <c r="I17" s="194" t="s">
        <v>31</v>
      </c>
      <c r="J17" s="230" t="str">
        <f>LOOKUP($D$5,'Distribution Summary'!$B$90:$Z$90,'Distribution Summary'!B98:Z98)</f>
        <v>-</v>
      </c>
      <c r="K17" s="209" t="str">
        <f>LOOKUP($D$5,'Distribution Summary'!$B$90:$Z$90,'Distribution Summary'!B117:Z117)</f>
        <v>-</v>
      </c>
      <c r="L17" s="194" t="s">
        <v>31</v>
      </c>
      <c r="M17" s="230" t="str">
        <f>LOOKUP($D$5,'Distribution Summary'!$B$133:$Z$133,'Distribution Summary'!B141:Z141)</f>
        <v>-</v>
      </c>
      <c r="N17" s="211" t="str">
        <f>LOOKUP($D$5,'Distribution Summary'!$B$133:$Z$133,'Distribution Summary'!B160:Z160)</f>
        <v>-</v>
      </c>
      <c r="O17" s="186"/>
      <c r="P17" s="194" t="s">
        <v>31</v>
      </c>
      <c r="Q17" s="230" t="str">
        <f>LOOKUP($D$5,'Distribution Summary'!$B$176:$Z$176,'Distribution Summary'!B184:Z184)</f>
        <v>-</v>
      </c>
      <c r="R17" s="209" t="str">
        <f>LOOKUP($D$5,'Distribution Summary'!$B$176:$Z$176,'Distribution Summary'!B203:Z203)</f>
        <v>-</v>
      </c>
      <c r="S17" s="194" t="s">
        <v>31</v>
      </c>
      <c r="T17" s="230" t="str">
        <f>LOOKUP($D$5,'Distribution Summary'!$B$219:$Z$219,'Distribution Summary'!B227:Z227)</f>
        <v>-</v>
      </c>
      <c r="U17" s="211" t="str">
        <f>LOOKUP($D$5,'Distribution Summary'!$B$219:$Z$219,'Distribution Summary'!B246:Z246)</f>
        <v>-</v>
      </c>
    </row>
    <row r="18" spans="2:21" x14ac:dyDescent="0.2">
      <c r="B18" s="135" t="s">
        <v>32</v>
      </c>
      <c r="C18" s="224">
        <f>LOOKUP($D$5,'Distribution Summary'!$B$4:$Z$4,'Distribution Summary'!B13:Z13)</f>
        <v>8.5199999999999998E-2</v>
      </c>
      <c r="D18" s="208">
        <f>LOOKUP($D$5,'Distribution Summary'!$B$4:$Z$4,'Distribution Summary'!B32:Z32)</f>
        <v>7.2599999999999998E-2</v>
      </c>
      <c r="E18" s="194" t="s">
        <v>32</v>
      </c>
      <c r="F18" s="230">
        <f>LOOKUP($D$5,'Distribution Summary'!$B$47:$Z$47,'Distribution Summary'!B56:Z56)</f>
        <v>5.5E-2</v>
      </c>
      <c r="G18" s="211">
        <f>LOOKUP($D$5,'Distribution Summary'!$B$47:$Z$47,'Distribution Summary'!B75:Z75)</f>
        <v>3.9E-2</v>
      </c>
      <c r="H18" s="186"/>
      <c r="I18" s="194" t="s">
        <v>32</v>
      </c>
      <c r="J18" s="230" t="str">
        <f>LOOKUP($D$5,'Distribution Summary'!$B$90:$Z$90,'Distribution Summary'!B99:Z99)</f>
        <v>-</v>
      </c>
      <c r="K18" s="209" t="str">
        <f>LOOKUP($D$5,'Distribution Summary'!$B$90:$Z$90,'Distribution Summary'!B118:Z118)</f>
        <v>-</v>
      </c>
      <c r="L18" s="194" t="s">
        <v>32</v>
      </c>
      <c r="M18" s="230" t="str">
        <f>LOOKUP($D$5,'Distribution Summary'!$B$133:$Z$133,'Distribution Summary'!B142:Z142)</f>
        <v>-</v>
      </c>
      <c r="N18" s="211" t="str">
        <f>LOOKUP($D$5,'Distribution Summary'!$B$133:$Z$133,'Distribution Summary'!B161:Z161)</f>
        <v>-</v>
      </c>
      <c r="O18" s="186"/>
      <c r="P18" s="194" t="s">
        <v>32</v>
      </c>
      <c r="Q18" s="230" t="str">
        <f>LOOKUP($D$5,'Distribution Summary'!$B$176:$Z$176,'Distribution Summary'!B185:Z185)</f>
        <v>-</v>
      </c>
      <c r="R18" s="209" t="str">
        <f>LOOKUP($D$5,'Distribution Summary'!$B$176:$Z$176,'Distribution Summary'!B204:Z204)</f>
        <v>-</v>
      </c>
      <c r="S18" s="194" t="s">
        <v>32</v>
      </c>
      <c r="T18" s="230" t="str">
        <f>LOOKUP($D$5,'Distribution Summary'!$B$219:$Z$219,'Distribution Summary'!B228:Z228)</f>
        <v>-</v>
      </c>
      <c r="U18" s="211" t="str">
        <f>LOOKUP($D$5,'Distribution Summary'!$B$219:$Z$219,'Distribution Summary'!B247:Z247)</f>
        <v>-</v>
      </c>
    </row>
    <row r="19" spans="2:21" x14ac:dyDescent="0.2">
      <c r="B19" s="135" t="s">
        <v>33</v>
      </c>
      <c r="C19" s="224">
        <f>LOOKUP($D$5,'Distribution Summary'!$B$4:$Z$4,'Distribution Summary'!B14:Z14)</f>
        <v>7.3099999999999998E-2</v>
      </c>
      <c r="D19" s="208">
        <f>LOOKUP($D$5,'Distribution Summary'!$B$4:$Z$4,'Distribution Summary'!B33:Z33)</f>
        <v>8.8599999999999998E-2</v>
      </c>
      <c r="E19" s="194" t="s">
        <v>33</v>
      </c>
      <c r="F19" s="230">
        <f>LOOKUP($D$5,'Distribution Summary'!$B$47:$Z$47,'Distribution Summary'!B57:Z57)</f>
        <v>6.7000000000000004E-2</v>
      </c>
      <c r="G19" s="211">
        <f>LOOKUP($D$5,'Distribution Summary'!$B$47:$Z$47,'Distribution Summary'!B76:Z76)</f>
        <v>7.9000000000000001E-2</v>
      </c>
      <c r="H19" s="186"/>
      <c r="I19" s="194" t="s">
        <v>33</v>
      </c>
      <c r="J19" s="230" t="str">
        <f>LOOKUP($D$5,'Distribution Summary'!$B$90:$Z$90,'Distribution Summary'!B100:Z100)</f>
        <v>-</v>
      </c>
      <c r="K19" s="209" t="str">
        <f>LOOKUP($D$5,'Distribution Summary'!$B$90:$Z$90,'Distribution Summary'!B119:Z119)</f>
        <v>-</v>
      </c>
      <c r="L19" s="194" t="s">
        <v>33</v>
      </c>
      <c r="M19" s="230" t="str">
        <f>LOOKUP($D$5,'Distribution Summary'!$B$133:$Z$133,'Distribution Summary'!B143:Z143)</f>
        <v>-</v>
      </c>
      <c r="N19" s="211" t="str">
        <f>LOOKUP($D$5,'Distribution Summary'!$B$133:$Z$133,'Distribution Summary'!B162:Z162)</f>
        <v>-</v>
      </c>
      <c r="O19" s="186"/>
      <c r="P19" s="194" t="s">
        <v>33</v>
      </c>
      <c r="Q19" s="230" t="str">
        <f>LOOKUP($D$5,'Distribution Summary'!$B$176:$Z$176,'Distribution Summary'!B186:Z186)</f>
        <v>-</v>
      </c>
      <c r="R19" s="209" t="str">
        <f>LOOKUP($D$5,'Distribution Summary'!$B$176:$Z$176,'Distribution Summary'!B205:Z205)</f>
        <v>-</v>
      </c>
      <c r="S19" s="194" t="s">
        <v>33</v>
      </c>
      <c r="T19" s="230" t="str">
        <f>LOOKUP($D$5,'Distribution Summary'!$B$219:$Z$219,'Distribution Summary'!B229:Z229)</f>
        <v>-</v>
      </c>
      <c r="U19" s="211" t="str">
        <f>LOOKUP($D$5,'Distribution Summary'!$B$219:$Z$219,'Distribution Summary'!B248:Z248)</f>
        <v>-</v>
      </c>
    </row>
    <row r="20" spans="2:21" x14ac:dyDescent="0.2">
      <c r="B20" s="135" t="s">
        <v>34</v>
      </c>
      <c r="C20" s="224">
        <f>LOOKUP($D$5,'Distribution Summary'!$B$4:$Z$4,'Distribution Summary'!B15:Z15)</f>
        <v>6.0100000000000001E-2</v>
      </c>
      <c r="D20" s="208">
        <f>LOOKUP($D$5,'Distribution Summary'!$B$4:$Z$4,'Distribution Summary'!B34:Z34)</f>
        <v>0.1134</v>
      </c>
      <c r="E20" s="194" t="s">
        <v>34</v>
      </c>
      <c r="F20" s="230">
        <f>LOOKUP($D$5,'Distribution Summary'!$B$47:$Z$47,'Distribution Summary'!B58:Z58)</f>
        <v>6.3E-2</v>
      </c>
      <c r="G20" s="211">
        <f>LOOKUP($D$5,'Distribution Summary'!$B$47:$Z$47,'Distribution Summary'!B77:Z77)</f>
        <v>0.151</v>
      </c>
      <c r="H20" s="186"/>
      <c r="I20" s="194" t="s">
        <v>34</v>
      </c>
      <c r="J20" s="230" t="str">
        <f>LOOKUP($D$5,'Distribution Summary'!$B$90:$Z$90,'Distribution Summary'!B101:Z101)</f>
        <v>-</v>
      </c>
      <c r="K20" s="209" t="str">
        <f>LOOKUP($D$5,'Distribution Summary'!$B$90:$Z$90,'Distribution Summary'!B120:Z120)</f>
        <v>-</v>
      </c>
      <c r="L20" s="194" t="s">
        <v>34</v>
      </c>
      <c r="M20" s="230" t="str">
        <f>LOOKUP($D$5,'Distribution Summary'!$B$133:$Z$133,'Distribution Summary'!B144:Z144)</f>
        <v>-</v>
      </c>
      <c r="N20" s="211" t="str">
        <f>LOOKUP($D$5,'Distribution Summary'!$B$133:$Z$133,'Distribution Summary'!B163:Z163)</f>
        <v>-</v>
      </c>
      <c r="O20" s="186"/>
      <c r="P20" s="194" t="s">
        <v>34</v>
      </c>
      <c r="Q20" s="230" t="str">
        <f>LOOKUP($D$5,'Distribution Summary'!$B$176:$Z$176,'Distribution Summary'!B187:Z187)</f>
        <v>-</v>
      </c>
      <c r="R20" s="209" t="str">
        <f>LOOKUP($D$5,'Distribution Summary'!$B$176:$Z$176,'Distribution Summary'!B206:Z206)</f>
        <v>-</v>
      </c>
      <c r="S20" s="194" t="s">
        <v>34</v>
      </c>
      <c r="T20" s="230" t="str">
        <f>LOOKUP($D$5,'Distribution Summary'!$B$219:$Z$219,'Distribution Summary'!B230:Z230)</f>
        <v>-</v>
      </c>
      <c r="U20" s="211" t="str">
        <f>LOOKUP($D$5,'Distribution Summary'!$B$219:$Z$219,'Distribution Summary'!B249:Z249)</f>
        <v>-</v>
      </c>
    </row>
    <row r="21" spans="2:21" x14ac:dyDescent="0.2">
      <c r="B21" s="135" t="s">
        <v>35</v>
      </c>
      <c r="C21" s="224">
        <f>LOOKUP($D$5,'Distribution Summary'!$B$4:$Z$4,'Distribution Summary'!B16:Z16)</f>
        <v>4.1100000000000005E-2</v>
      </c>
      <c r="D21" s="208">
        <f>LOOKUP($D$5,'Distribution Summary'!$B$4:$Z$4,'Distribution Summary'!B35:Z35)</f>
        <v>0.1085</v>
      </c>
      <c r="E21" s="194" t="s">
        <v>35</v>
      </c>
      <c r="F21" s="230">
        <f>LOOKUP($D$5,'Distribution Summary'!$B$47:$Z$47,'Distribution Summary'!B59:Z59)</f>
        <v>3.6999999999999998E-2</v>
      </c>
      <c r="G21" s="211">
        <f>LOOKUP($D$5,'Distribution Summary'!$B$47:$Z$47,'Distribution Summary'!B78:Z78)</f>
        <v>0.112</v>
      </c>
      <c r="H21" s="186"/>
      <c r="I21" s="194" t="s">
        <v>35</v>
      </c>
      <c r="J21" s="230" t="str">
        <f>LOOKUP($D$5,'Distribution Summary'!$B$90:$Z$90,'Distribution Summary'!B102:Z102)</f>
        <v>-</v>
      </c>
      <c r="K21" s="209" t="str">
        <f>LOOKUP($D$5,'Distribution Summary'!$B$90:$Z$90,'Distribution Summary'!B121:Z121)</f>
        <v>-</v>
      </c>
      <c r="L21" s="194" t="s">
        <v>35</v>
      </c>
      <c r="M21" s="230" t="str">
        <f>LOOKUP($D$5,'Distribution Summary'!$B$133:$Z$133,'Distribution Summary'!B145:Z145)</f>
        <v>-</v>
      </c>
      <c r="N21" s="211" t="str">
        <f>LOOKUP($D$5,'Distribution Summary'!$B$133:$Z$133,'Distribution Summary'!B164:Z164)</f>
        <v>-</v>
      </c>
      <c r="O21" s="186"/>
      <c r="P21" s="194" t="s">
        <v>35</v>
      </c>
      <c r="Q21" s="230" t="str">
        <f>LOOKUP($D$5,'Distribution Summary'!$B$176:$Z$176,'Distribution Summary'!B188:Z188)</f>
        <v>-</v>
      </c>
      <c r="R21" s="209" t="str">
        <f>LOOKUP($D$5,'Distribution Summary'!$B$176:$Z$176,'Distribution Summary'!B207:Z207)</f>
        <v>-</v>
      </c>
      <c r="S21" s="194" t="s">
        <v>35</v>
      </c>
      <c r="T21" s="230" t="str">
        <f>LOOKUP($D$5,'Distribution Summary'!$B$219:$Z$219,'Distribution Summary'!B231:Z231)</f>
        <v>-</v>
      </c>
      <c r="U21" s="211" t="str">
        <f>LOOKUP($D$5,'Distribution Summary'!$B$219:$Z$219,'Distribution Summary'!B250:Z250)</f>
        <v>-</v>
      </c>
    </row>
    <row r="22" spans="2:21" x14ac:dyDescent="0.2">
      <c r="B22" s="135" t="s">
        <v>36</v>
      </c>
      <c r="C22" s="224">
        <f>LOOKUP($D$5,'Distribution Summary'!$B$4:$Z$4,'Distribution Summary'!B17:Z17)</f>
        <v>1.2E-2</v>
      </c>
      <c r="D22" s="208">
        <f>LOOKUP($D$5,'Distribution Summary'!$B$4:$Z$4,'Distribution Summary'!B36:Z36)</f>
        <v>0.16720000000000002</v>
      </c>
      <c r="E22" s="194" t="s">
        <v>36</v>
      </c>
      <c r="F22" s="230">
        <f>LOOKUP($D$5,'Distribution Summary'!$B$47:$Z$47,'Distribution Summary'!B60:Z60)</f>
        <v>2.8000000000000001E-2</v>
      </c>
      <c r="G22" s="211">
        <f>LOOKUP($D$5,'Distribution Summary'!$B$47:$Z$47,'Distribution Summary'!B79:Z79)</f>
        <v>8.4000000000000005E-2</v>
      </c>
      <c r="H22" s="186"/>
      <c r="I22" s="194" t="s">
        <v>36</v>
      </c>
      <c r="J22" s="230" t="str">
        <f>LOOKUP($D$5,'Distribution Summary'!$B$90:$Z$90,'Distribution Summary'!B103:Z103)</f>
        <v>-</v>
      </c>
      <c r="K22" s="209" t="str">
        <f>LOOKUP($D$5,'Distribution Summary'!$B$90:$Z$90,'Distribution Summary'!B122:Z122)</f>
        <v>-</v>
      </c>
      <c r="L22" s="194" t="s">
        <v>36</v>
      </c>
      <c r="M22" s="230" t="str">
        <f>LOOKUP($D$5,'Distribution Summary'!$B$133:$Z$133,'Distribution Summary'!B146:Z146)</f>
        <v>-</v>
      </c>
      <c r="N22" s="211" t="str">
        <f>LOOKUP($D$5,'Distribution Summary'!$B$133:$Z$133,'Distribution Summary'!B165:Z165)</f>
        <v>-</v>
      </c>
      <c r="O22" s="186"/>
      <c r="P22" s="194" t="s">
        <v>36</v>
      </c>
      <c r="Q22" s="230" t="str">
        <f>LOOKUP($D$5,'Distribution Summary'!$B$176:$Z$176,'Distribution Summary'!B189:Z189)</f>
        <v>-</v>
      </c>
      <c r="R22" s="209" t="str">
        <f>LOOKUP($D$5,'Distribution Summary'!$B$176:$Z$176,'Distribution Summary'!B208:Z208)</f>
        <v>-</v>
      </c>
      <c r="S22" s="194" t="s">
        <v>36</v>
      </c>
      <c r="T22" s="230" t="str">
        <f>LOOKUP($D$5,'Distribution Summary'!$B$219:$Z$219,'Distribution Summary'!B232:Z232)</f>
        <v>-</v>
      </c>
      <c r="U22" s="211" t="str">
        <f>LOOKUP($D$5,'Distribution Summary'!$B$219:$Z$219,'Distribution Summary'!B251:Z251)</f>
        <v>-</v>
      </c>
    </row>
    <row r="23" spans="2:21" x14ac:dyDescent="0.2">
      <c r="B23" s="182" t="s">
        <v>141</v>
      </c>
      <c r="C23" s="224">
        <f>LOOKUP($D$5,'Distribution Summary'!$B$4:$Z$4,'Distribution Summary'!B18:Z18)</f>
        <v>1E-3</v>
      </c>
      <c r="D23" s="208">
        <f>LOOKUP($D$5,'Distribution Summary'!$B$4:$Z$4,'Distribution Summary'!B37:Z37)</f>
        <v>2.3900000000000001E-2</v>
      </c>
      <c r="E23" s="195" t="s">
        <v>141</v>
      </c>
      <c r="F23" s="230" t="str">
        <f>LOOKUP($D$5,'Distribution Summary'!$B$47:$Z$47,'Distribution Summary'!B61:Z61)</f>
        <v>-</v>
      </c>
      <c r="G23" s="211" t="str">
        <f>LOOKUP($D$5,'Distribution Summary'!$B$47:$Z$47,'Distribution Summary'!B80:Z80)</f>
        <v>-</v>
      </c>
      <c r="H23" s="186"/>
      <c r="I23" s="195" t="s">
        <v>141</v>
      </c>
      <c r="J23" s="230" t="str">
        <f>LOOKUP($D$5,'Distribution Summary'!$B$90:$Z$90,'Distribution Summary'!B104:Z104)</f>
        <v>-</v>
      </c>
      <c r="K23" s="209" t="str">
        <f>LOOKUP($D$5,'Distribution Summary'!$B$90:$Z$90,'Distribution Summary'!B123:Z123)</f>
        <v>-</v>
      </c>
      <c r="L23" s="195" t="s">
        <v>141</v>
      </c>
      <c r="M23" s="230" t="str">
        <f>LOOKUP($D$5,'Distribution Summary'!$B$133:$Z$133,'Distribution Summary'!B147:Z147)</f>
        <v>-</v>
      </c>
      <c r="N23" s="211" t="str">
        <f>LOOKUP($D$5,'Distribution Summary'!$B$133:$Z$133,'Distribution Summary'!B166:Z166)</f>
        <v>-</v>
      </c>
      <c r="O23" s="186"/>
      <c r="P23" s="195" t="s">
        <v>141</v>
      </c>
      <c r="Q23" s="230" t="str">
        <f>LOOKUP($D$5,'Distribution Summary'!$B$176:$Z$176,'Distribution Summary'!B190:Z190)</f>
        <v>-</v>
      </c>
      <c r="R23" s="209" t="str">
        <f>LOOKUP($D$5,'Distribution Summary'!$B$176:$Z$176,'Distribution Summary'!B209:Z209)</f>
        <v>-</v>
      </c>
      <c r="S23" s="195" t="s">
        <v>141</v>
      </c>
      <c r="T23" s="230" t="str">
        <f>LOOKUP($D$5,'Distribution Summary'!$B$219:$Z$219,'Distribution Summary'!B233:Z233)</f>
        <v>-</v>
      </c>
      <c r="U23" s="211" t="str">
        <f>LOOKUP($D$5,'Distribution Summary'!$B$219:$Z$219,'Distribution Summary'!B252:Z252)</f>
        <v>-</v>
      </c>
    </row>
    <row r="24" spans="2:21" x14ac:dyDescent="0.2">
      <c r="B24" s="183" t="s">
        <v>142</v>
      </c>
      <c r="C24" s="224">
        <f>LOOKUP($D$5,'Distribution Summary'!$B$4:$Z$4,'Distribution Summary'!B19:Z19)</f>
        <v>0</v>
      </c>
      <c r="D24" s="208">
        <f>LOOKUP($D$5,'Distribution Summary'!$B$4:$Z$4,'Distribution Summary'!B38:Z38)</f>
        <v>1E-3</v>
      </c>
      <c r="E24" s="196" t="s">
        <v>142</v>
      </c>
      <c r="F24" s="230" t="str">
        <f>LOOKUP($D$5,'Distribution Summary'!$B$47:$Z$47,'Distribution Summary'!B62:Z62)</f>
        <v>-</v>
      </c>
      <c r="G24" s="211" t="str">
        <f>LOOKUP($D$5,'Distribution Summary'!$B$47:$Z$47,'Distribution Summary'!B81:Z81)</f>
        <v>-</v>
      </c>
      <c r="H24" s="186"/>
      <c r="I24" s="196" t="s">
        <v>142</v>
      </c>
      <c r="J24" s="230" t="str">
        <f>LOOKUP($D$5,'Distribution Summary'!$B$90:$Z$90,'Distribution Summary'!B105:Z105)</f>
        <v>-</v>
      </c>
      <c r="K24" s="209" t="str">
        <f>LOOKUP($D$5,'Distribution Summary'!$B$90:$Z$90,'Distribution Summary'!B124:Z124)</f>
        <v>-</v>
      </c>
      <c r="L24" s="196" t="s">
        <v>142</v>
      </c>
      <c r="M24" s="230" t="str">
        <f>LOOKUP($D$5,'Distribution Summary'!$B$133:$Z$133,'Distribution Summary'!B148:Z148)</f>
        <v>-</v>
      </c>
      <c r="N24" s="211" t="str">
        <f>LOOKUP($D$5,'Distribution Summary'!$B$133:$Z$133,'Distribution Summary'!B167:Z167)</f>
        <v>-</v>
      </c>
      <c r="O24" s="186"/>
      <c r="P24" s="196" t="s">
        <v>142</v>
      </c>
      <c r="Q24" s="230" t="str">
        <f>LOOKUP($D$5,'Distribution Summary'!$B$176:$Z$176,'Distribution Summary'!B191:Z191)</f>
        <v>-</v>
      </c>
      <c r="R24" s="209" t="str">
        <f>LOOKUP($D$5,'Distribution Summary'!$B$176:$Z$176,'Distribution Summary'!B210:Z210)</f>
        <v>-</v>
      </c>
      <c r="S24" s="196" t="s">
        <v>142</v>
      </c>
      <c r="T24" s="230" t="str">
        <f>LOOKUP($D$5,'Distribution Summary'!$B$219:$Z$219,'Distribution Summary'!B234:Z234)</f>
        <v>-</v>
      </c>
      <c r="U24" s="211" t="str">
        <f>LOOKUP($D$5,'Distribution Summary'!$B$219:$Z$219,'Distribution Summary'!B253:Z253)</f>
        <v>-</v>
      </c>
    </row>
    <row r="25" spans="2:21" x14ac:dyDescent="0.2">
      <c r="B25" s="183" t="s">
        <v>160</v>
      </c>
      <c r="C25" s="224">
        <f>LOOKUP($D$5,'Distribution Summary'!$B$4:$Z$4,'Distribution Summary'!B20:Z20)</f>
        <v>0</v>
      </c>
      <c r="D25" s="208">
        <f>LOOKUP($D$5,'Distribution Summary'!$B$4:$Z$4,'Distribution Summary'!B39:Z39)</f>
        <v>0</v>
      </c>
      <c r="E25" s="196" t="s">
        <v>160</v>
      </c>
      <c r="F25" s="230" t="str">
        <f>LOOKUP($D$5,'Distribution Summary'!$B$47:$Z$47,'Distribution Summary'!B63:Z63)</f>
        <v>-</v>
      </c>
      <c r="G25" s="211" t="str">
        <f>LOOKUP($D$5,'Distribution Summary'!$B$47:$Z$47,'Distribution Summary'!B82:Z82)</f>
        <v>-</v>
      </c>
      <c r="H25" s="186"/>
      <c r="I25" s="196" t="s">
        <v>160</v>
      </c>
      <c r="J25" s="230" t="str">
        <f>LOOKUP($D$5,'Distribution Summary'!$B$90:$Z$90,'Distribution Summary'!B106:Z106)</f>
        <v>-</v>
      </c>
      <c r="K25" s="209" t="str">
        <f>LOOKUP($D$5,'Distribution Summary'!$B$90:$Z$90,'Distribution Summary'!B125:Z125)</f>
        <v>-</v>
      </c>
      <c r="L25" s="196" t="s">
        <v>160</v>
      </c>
      <c r="M25" s="230" t="str">
        <f>LOOKUP($D$5,'Distribution Summary'!$B$133:$Z$133,'Distribution Summary'!B149:Z149)</f>
        <v>-</v>
      </c>
      <c r="N25" s="211" t="str">
        <f>LOOKUP($D$5,'Distribution Summary'!$B$133:$Z$133,'Distribution Summary'!B168:Z168)</f>
        <v>-</v>
      </c>
      <c r="O25" s="186"/>
      <c r="P25" s="196" t="s">
        <v>160</v>
      </c>
      <c r="Q25" s="230" t="str">
        <f>LOOKUP($D$5,'Distribution Summary'!$B$176:$Z$176,'Distribution Summary'!B192:Z192)</f>
        <v>-</v>
      </c>
      <c r="R25" s="209" t="str">
        <f>LOOKUP($D$5,'Distribution Summary'!$B$176:$Z$176,'Distribution Summary'!B211:Z211)</f>
        <v>-</v>
      </c>
      <c r="S25" s="196" t="s">
        <v>160</v>
      </c>
      <c r="T25" s="230" t="str">
        <f>LOOKUP($D$5,'Distribution Summary'!$B$219:$Z$219,'Distribution Summary'!B235:Z235)</f>
        <v>-</v>
      </c>
      <c r="U25" s="211" t="str">
        <f>LOOKUP($D$5,'Distribution Summary'!$B$219:$Z$219,'Distribution Summary'!B254:Z254)</f>
        <v>-</v>
      </c>
    </row>
    <row r="26" spans="2:21" x14ac:dyDescent="0.2">
      <c r="B26" s="183" t="s">
        <v>161</v>
      </c>
      <c r="C26" s="224">
        <f>LOOKUP($D$5,'Distribution Summary'!$B$4:$Z$4,'Distribution Summary'!B21:Z21)</f>
        <v>0</v>
      </c>
      <c r="D26" s="208">
        <f>LOOKUP($D$5,'Distribution Summary'!$B$4:$Z$4,'Distribution Summary'!B40:Z40)</f>
        <v>0</v>
      </c>
      <c r="E26" s="196" t="s">
        <v>161</v>
      </c>
      <c r="F26" s="230" t="str">
        <f>LOOKUP($D$5,'Distribution Summary'!$B$47:$Z$47,'Distribution Summary'!B64:Z64)</f>
        <v>-</v>
      </c>
      <c r="G26" s="211" t="str">
        <f>LOOKUP($D$5,'Distribution Summary'!$B$47:$Z$47,'Distribution Summary'!B83:Z83)</f>
        <v>-</v>
      </c>
      <c r="H26" s="186"/>
      <c r="I26" s="196" t="s">
        <v>161</v>
      </c>
      <c r="J26" s="230" t="str">
        <f>LOOKUP($D$5,'Distribution Summary'!$B$90:$Z$90,'Distribution Summary'!B107:Z107)</f>
        <v>-</v>
      </c>
      <c r="K26" s="209" t="str">
        <f>LOOKUP($D$5,'Distribution Summary'!$B$90:$Z$90,'Distribution Summary'!B126:Z126)</f>
        <v>-</v>
      </c>
      <c r="L26" s="196" t="s">
        <v>161</v>
      </c>
      <c r="M26" s="230" t="str">
        <f>LOOKUP($D$5,'Distribution Summary'!$B$133:$Z$133,'Distribution Summary'!B150:Z150)</f>
        <v>-</v>
      </c>
      <c r="N26" s="211" t="str">
        <f>LOOKUP($D$5,'Distribution Summary'!$B$133:$Z$133,'Distribution Summary'!B169:Z169)</f>
        <v>-</v>
      </c>
      <c r="O26" s="186"/>
      <c r="P26" s="196" t="s">
        <v>161</v>
      </c>
      <c r="Q26" s="230" t="str">
        <f>LOOKUP($D$5,'Distribution Summary'!$B$176:$Z$176,'Distribution Summary'!B193:Z193)</f>
        <v>-</v>
      </c>
      <c r="R26" s="209" t="str">
        <f>LOOKUP($D$5,'Distribution Summary'!$B$176:$Z$176,'Distribution Summary'!B212:Z212)</f>
        <v>-</v>
      </c>
      <c r="S26" s="196" t="s">
        <v>161</v>
      </c>
      <c r="T26" s="230" t="str">
        <f>LOOKUP($D$5,'Distribution Summary'!$B$219:$Z$219,'Distribution Summary'!B236:Z236)</f>
        <v>-</v>
      </c>
      <c r="U26" s="211" t="str">
        <f>LOOKUP($D$5,'Distribution Summary'!$B$219:$Z$219,'Distribution Summary'!B255:Z255)</f>
        <v>-</v>
      </c>
    </row>
    <row r="27" spans="2:21" ht="13.5" thickBot="1" x14ac:dyDescent="0.25">
      <c r="B27" s="192" t="s">
        <v>186</v>
      </c>
      <c r="C27" s="225">
        <f>LOOKUP($D$5,'Distribution Summary'!$B$4:$Z$4,'Distribution Summary'!B22:Z22)</f>
        <v>6.1100000000000002E-2</v>
      </c>
      <c r="D27" s="227">
        <f>LOOKUP($D$5,'Distribution Summary'!$B$4:$Z$4,'Distribution Summary'!B41:Z41)</f>
        <v>6.0000000000000001E-3</v>
      </c>
      <c r="E27" s="197" t="s">
        <v>186</v>
      </c>
      <c r="F27" s="231" t="str">
        <f>LOOKUP($D$5,'Distribution Summary'!$B$47:$Z$47,'Distribution Summary'!B65:Z65)</f>
        <v>-</v>
      </c>
      <c r="G27" s="212" t="str">
        <f>LOOKUP($D$5,'Distribution Summary'!$B$47:$Z$47,'Distribution Summary'!B84:Z84)</f>
        <v>-</v>
      </c>
      <c r="H27" s="186"/>
      <c r="I27" s="197" t="s">
        <v>186</v>
      </c>
      <c r="J27" s="231" t="str">
        <f>LOOKUP($D$5,'Distribution Summary'!$B$90:$Z$90,'Distribution Summary'!B108:Z108)</f>
        <v>-</v>
      </c>
      <c r="K27" s="210" t="str">
        <f>LOOKUP($D$5,'Distribution Summary'!$B$90:$Z$90,'Distribution Summary'!B127:Z127)</f>
        <v>-</v>
      </c>
      <c r="L27" s="197" t="s">
        <v>186</v>
      </c>
      <c r="M27" s="231" t="str">
        <f>LOOKUP($D$5,'Distribution Summary'!$B$133:$Z$133,'Distribution Summary'!B151:Z151)</f>
        <v>-</v>
      </c>
      <c r="N27" s="212" t="str">
        <f>LOOKUP($D$5,'Distribution Summary'!$B$133:$Z$133,'Distribution Summary'!B170:Z170)</f>
        <v>-</v>
      </c>
      <c r="O27" s="186"/>
      <c r="P27" s="197" t="s">
        <v>186</v>
      </c>
      <c r="Q27" s="231" t="str">
        <f>LOOKUP($D$5,'Distribution Summary'!$B$176:$Z$176,'Distribution Summary'!B194:Z194)</f>
        <v>-</v>
      </c>
      <c r="R27" s="210" t="str">
        <f>LOOKUP($D$5,'Distribution Summary'!$B$176:$Z$176,'Distribution Summary'!B213:Z213)</f>
        <v>-</v>
      </c>
      <c r="S27" s="197" t="s">
        <v>186</v>
      </c>
      <c r="T27" s="231" t="str">
        <f>LOOKUP($D$5,'Distribution Summary'!$B$219:$Z$219,'Distribution Summary'!B237:Z237)</f>
        <v>-</v>
      </c>
      <c r="U27" s="212" t="str">
        <f>LOOKUP($D$5,'Distribution Summary'!$B$219:$Z$219,'Distribution Summary'!B256:Z256)</f>
        <v>-</v>
      </c>
    </row>
    <row r="28" spans="2:21" ht="13.5" thickTop="1" x14ac:dyDescent="0.2">
      <c r="F28" s="184"/>
      <c r="M28" s="184"/>
      <c r="T28" s="184"/>
    </row>
    <row r="29" spans="2:21" x14ac:dyDescent="0.2">
      <c r="B29" s="181"/>
      <c r="D29" s="184"/>
      <c r="F29" s="181"/>
      <c r="J29" s="181"/>
      <c r="K29" s="184"/>
      <c r="M29" s="181"/>
      <c r="Q29" s="181"/>
      <c r="R29" s="184"/>
      <c r="T29" s="181"/>
    </row>
    <row r="30" spans="2:21" x14ac:dyDescent="0.2">
      <c r="B30" s="181"/>
      <c r="D30" s="184"/>
      <c r="F30" s="181"/>
      <c r="J30" s="181"/>
      <c r="K30" s="184"/>
      <c r="M30" s="181"/>
      <c r="Q30" s="181"/>
      <c r="R30" s="184"/>
      <c r="T30" s="181"/>
    </row>
    <row r="34" spans="2:2" x14ac:dyDescent="0.2">
      <c r="B34" s="202" t="s">
        <v>231</v>
      </c>
    </row>
    <row r="35" spans="2:2" x14ac:dyDescent="0.2">
      <c r="B35" s="201" t="s">
        <v>214</v>
      </c>
    </row>
  </sheetData>
  <mergeCells count="12">
    <mergeCell ref="B2:U3"/>
    <mergeCell ref="B5:C6"/>
    <mergeCell ref="D5:G6"/>
    <mergeCell ref="B9:D9"/>
    <mergeCell ref="E9:G9"/>
    <mergeCell ref="I9:K9"/>
    <mergeCell ref="L9:N9"/>
    <mergeCell ref="P9:R9"/>
    <mergeCell ref="S9:U9"/>
    <mergeCell ref="P8:U8"/>
    <mergeCell ref="I8:N8"/>
    <mergeCell ref="B8:G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'Distribution Summary'!$B$4:$Z$4</xm:f>
          </x14:formula1>
          <xm:sqref>D5:G6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CA2A-DABC-4CB6-9CEB-1FCD681A37D3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242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1.3670000000000002E-2</v>
      </c>
      <c r="D7" s="163">
        <v>6.8840000000000012E-2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2.0400000000000001E-2</v>
      </c>
      <c r="D8" s="166">
        <v>0.1081</v>
      </c>
      <c r="E8" s="175"/>
      <c r="F8" s="175"/>
      <c r="G8" s="175"/>
      <c r="H8" s="175"/>
    </row>
    <row r="9" spans="2:26" x14ac:dyDescent="0.2">
      <c r="B9" s="117" t="s">
        <v>28</v>
      </c>
      <c r="C9" s="149">
        <v>3.15E-2</v>
      </c>
      <c r="D9" s="166">
        <v>8.4600000000000009E-2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2.8500000000000001E-2</v>
      </c>
      <c r="D10" s="166">
        <v>4.8800000000000003E-2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2.4200000000000003E-2</v>
      </c>
      <c r="D11" s="166">
        <v>4.7600000000000003E-2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3.8200000000000005E-2</v>
      </c>
      <c r="D12" s="166">
        <v>4.7300000000000002E-2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4.5200000000000004E-2</v>
      </c>
      <c r="D13" s="166">
        <v>4.1200000000000001E-2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3.9600000000000003E-2</v>
      </c>
      <c r="D14" s="166">
        <v>4.4299999999999999E-2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5.62E-2</v>
      </c>
      <c r="D15" s="166">
        <v>4.8800000000000003E-2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6.93E-2</v>
      </c>
      <c r="D16" s="166">
        <v>5.3100000000000001E-2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0.1012</v>
      </c>
      <c r="D17" s="166">
        <v>5.6400000000000006E-2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0.11410000000000001</v>
      </c>
      <c r="D18" s="166">
        <v>7.5700000000000003E-2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9.74E-2</v>
      </c>
      <c r="D19" s="166">
        <v>6.6900000000000001E-2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8.1000000000000003E-2</v>
      </c>
      <c r="D20" s="166">
        <v>4.7100000000000003E-2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7.6600000000000001E-2</v>
      </c>
      <c r="D21" s="166">
        <v>4.1600000000000005E-2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6.0200000000000004E-2</v>
      </c>
      <c r="D22" s="166">
        <v>2.7400000000000001E-2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0.10300000000000001</v>
      </c>
      <c r="D23" s="168">
        <v>9.1999999999999998E-2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1.0002700000000002</v>
      </c>
      <c r="D24" s="161">
        <f t="shared" ref="D24" si="0">SUM(D7:D23)</f>
        <v>0.99973999999999996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244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25.57031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243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60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1.7999999999999999E-2</v>
      </c>
      <c r="D7" s="116">
        <v>6.6000000000000003E-2</v>
      </c>
      <c r="F7" s="8" t="s">
        <v>12</v>
      </c>
      <c r="G7" s="13">
        <f>8+12</f>
        <v>20</v>
      </c>
      <c r="H7" s="14">
        <f t="shared" ref="H7:H18" si="0">G7/$G$20</f>
        <v>1.4114326040931546E-2</v>
      </c>
      <c r="I7" s="13">
        <f>94+22</f>
        <v>116</v>
      </c>
      <c r="J7" s="15">
        <f t="shared" ref="J7:J18" si="1">I7/$I$20</f>
        <v>6.1932728243459689E-2</v>
      </c>
      <c r="L7" s="11">
        <f t="shared" ref="L7:L18" si="2">+G7+I7</f>
        <v>136</v>
      </c>
      <c r="M7" s="56">
        <f t="shared" ref="M7:M18" si="3">+L7/($G$20+$I$20)</f>
        <v>4.1337386018237082E-2</v>
      </c>
    </row>
    <row r="8" spans="2:26" x14ac:dyDescent="0.2">
      <c r="B8" s="117" t="s">
        <v>27</v>
      </c>
      <c r="C8" s="118">
        <v>4.1000000000000002E-2</v>
      </c>
      <c r="D8" s="119">
        <v>0.107</v>
      </c>
      <c r="F8" s="6" t="s">
        <v>1</v>
      </c>
      <c r="G8" s="9">
        <f>18+40</f>
        <v>58</v>
      </c>
      <c r="H8" s="16">
        <f t="shared" si="0"/>
        <v>4.0931545518701484E-2</v>
      </c>
      <c r="I8" s="9">
        <f>173+27</f>
        <v>200</v>
      </c>
      <c r="J8" s="17">
        <f t="shared" si="1"/>
        <v>0.10678056593699947</v>
      </c>
      <c r="L8" s="11">
        <f t="shared" si="2"/>
        <v>258</v>
      </c>
      <c r="M8" s="56">
        <f t="shared" si="3"/>
        <v>7.8419452887537988E-2</v>
      </c>
    </row>
    <row r="9" spans="2:26" x14ac:dyDescent="0.2">
      <c r="B9" s="117" t="s">
        <v>28</v>
      </c>
      <c r="C9" s="120">
        <v>4.5999999999999999E-2</v>
      </c>
      <c r="D9" s="119">
        <v>5.7000000000000002E-2</v>
      </c>
      <c r="F9" s="6" t="s">
        <v>2</v>
      </c>
      <c r="G9" s="9">
        <f>14+60</f>
        <v>74</v>
      </c>
      <c r="H9" s="16">
        <f t="shared" si="0"/>
        <v>5.2223006351446721E-2</v>
      </c>
      <c r="I9" s="9">
        <f>143+17</f>
        <v>160</v>
      </c>
      <c r="J9" s="17">
        <f t="shared" si="1"/>
        <v>8.5424452749599575E-2</v>
      </c>
      <c r="L9" s="11">
        <f t="shared" si="2"/>
        <v>234</v>
      </c>
      <c r="M9" s="56">
        <f t="shared" si="3"/>
        <v>7.1124620060790275E-2</v>
      </c>
    </row>
    <row r="10" spans="2:26" x14ac:dyDescent="0.2">
      <c r="B10" s="117" t="s">
        <v>29</v>
      </c>
      <c r="C10" s="120">
        <v>4.8000000000000001E-2</v>
      </c>
      <c r="D10" s="119">
        <v>5.3999999999999999E-2</v>
      </c>
      <c r="F10" s="6" t="s">
        <v>3</v>
      </c>
      <c r="G10" s="9">
        <f>7+66</f>
        <v>73</v>
      </c>
      <c r="H10" s="16">
        <f t="shared" si="0"/>
        <v>5.1517290049400144E-2</v>
      </c>
      <c r="I10" s="9">
        <f>103+19</f>
        <v>122</v>
      </c>
      <c r="J10" s="17">
        <f t="shared" si="1"/>
        <v>6.5136145221569672E-2</v>
      </c>
      <c r="L10" s="11">
        <f t="shared" si="2"/>
        <v>195</v>
      </c>
      <c r="M10" s="56">
        <f t="shared" si="3"/>
        <v>5.9270516717325229E-2</v>
      </c>
    </row>
    <row r="11" spans="2:26" x14ac:dyDescent="0.2">
      <c r="B11" s="117" t="s">
        <v>30</v>
      </c>
      <c r="C11" s="120">
        <v>0.04</v>
      </c>
      <c r="D11" s="119">
        <v>0.05</v>
      </c>
      <c r="F11" s="6" t="s">
        <v>4</v>
      </c>
      <c r="G11" s="9">
        <f>13+49</f>
        <v>62</v>
      </c>
      <c r="H11" s="16">
        <f t="shared" si="0"/>
        <v>4.3754410726887794E-2</v>
      </c>
      <c r="I11" s="9">
        <f>85+18</f>
        <v>103</v>
      </c>
      <c r="J11" s="17">
        <f t="shared" si="1"/>
        <v>5.4991991457554727E-2</v>
      </c>
      <c r="L11" s="11">
        <f t="shared" si="2"/>
        <v>165</v>
      </c>
      <c r="M11" s="56">
        <f t="shared" si="3"/>
        <v>5.0151975683890578E-2</v>
      </c>
    </row>
    <row r="12" spans="2:26" x14ac:dyDescent="0.2">
      <c r="B12" s="117" t="s">
        <v>37</v>
      </c>
      <c r="C12" s="120">
        <v>5.1999999999999998E-2</v>
      </c>
      <c r="D12" s="119">
        <v>5.0999999999999997E-2</v>
      </c>
      <c r="F12" s="6" t="s">
        <v>5</v>
      </c>
      <c r="G12" s="9">
        <f>14+54</f>
        <v>68</v>
      </c>
      <c r="H12" s="16">
        <f t="shared" si="0"/>
        <v>4.7988708539167257E-2</v>
      </c>
      <c r="I12" s="9">
        <f>90+10</f>
        <v>100</v>
      </c>
      <c r="J12" s="17">
        <f t="shared" si="1"/>
        <v>5.3390282968499736E-2</v>
      </c>
      <c r="L12" s="11">
        <f t="shared" si="2"/>
        <v>168</v>
      </c>
      <c r="M12" s="56">
        <f t="shared" si="3"/>
        <v>5.106382978723404E-2</v>
      </c>
    </row>
    <row r="13" spans="2:26" x14ac:dyDescent="0.2">
      <c r="B13" s="117" t="s">
        <v>31</v>
      </c>
      <c r="C13" s="120">
        <v>7.0000000000000007E-2</v>
      </c>
      <c r="D13" s="119">
        <v>5.3999999999999999E-2</v>
      </c>
      <c r="F13" s="6" t="s">
        <v>6</v>
      </c>
      <c r="G13" s="9">
        <f>25+72</f>
        <v>97</v>
      </c>
      <c r="H13" s="16">
        <f t="shared" si="0"/>
        <v>6.8454481298518E-2</v>
      </c>
      <c r="I13" s="9">
        <f>96+15</f>
        <v>111</v>
      </c>
      <c r="J13" s="17">
        <f t="shared" si="1"/>
        <v>5.9263214095034704E-2</v>
      </c>
      <c r="L13" s="11">
        <f t="shared" si="2"/>
        <v>208</v>
      </c>
      <c r="M13" s="56">
        <f t="shared" si="3"/>
        <v>6.3221884498480249E-2</v>
      </c>
    </row>
    <row r="14" spans="2:26" x14ac:dyDescent="0.2">
      <c r="B14" s="117" t="s">
        <v>32</v>
      </c>
      <c r="C14" s="120">
        <v>8.8999999999999996E-2</v>
      </c>
      <c r="D14" s="119">
        <v>6.3E-2</v>
      </c>
      <c r="F14" s="6" t="s">
        <v>7</v>
      </c>
      <c r="G14" s="9">
        <f>13+79</f>
        <v>92</v>
      </c>
      <c r="H14" s="16">
        <f t="shared" si="0"/>
        <v>6.4925899788285113E-2</v>
      </c>
      <c r="I14" s="9">
        <f>90+14</f>
        <v>104</v>
      </c>
      <c r="J14" s="17">
        <f t="shared" si="1"/>
        <v>5.5525894287239724E-2</v>
      </c>
      <c r="L14" s="11">
        <f t="shared" si="2"/>
        <v>196</v>
      </c>
      <c r="M14" s="56">
        <f t="shared" si="3"/>
        <v>5.9574468085106386E-2</v>
      </c>
    </row>
    <row r="15" spans="2:26" x14ac:dyDescent="0.2">
      <c r="B15" s="117" t="s">
        <v>33</v>
      </c>
      <c r="C15" s="120">
        <v>8.1000000000000003E-2</v>
      </c>
      <c r="D15" s="119">
        <v>6.8000000000000005E-2</v>
      </c>
      <c r="F15" s="6" t="s">
        <v>8</v>
      </c>
      <c r="G15" s="9">
        <f>22+72</f>
        <v>94</v>
      </c>
      <c r="H15" s="16">
        <f t="shared" si="0"/>
        <v>6.6337332392378268E-2</v>
      </c>
      <c r="I15" s="9">
        <f>79+23</f>
        <v>102</v>
      </c>
      <c r="J15" s="17">
        <f t="shared" si="1"/>
        <v>5.445808862786973E-2</v>
      </c>
      <c r="L15" s="11">
        <f t="shared" si="2"/>
        <v>196</v>
      </c>
      <c r="M15" s="56">
        <f t="shared" si="3"/>
        <v>5.9574468085106386E-2</v>
      </c>
    </row>
    <row r="16" spans="2:26" x14ac:dyDescent="0.2">
      <c r="B16" s="117" t="s">
        <v>34</v>
      </c>
      <c r="C16" s="120">
        <v>9.0999999999999998E-2</v>
      </c>
      <c r="D16" s="119">
        <v>6.6000000000000003E-2</v>
      </c>
      <c r="F16" s="6" t="s">
        <v>9</v>
      </c>
      <c r="G16" s="9">
        <f>33+96</f>
        <v>129</v>
      </c>
      <c r="H16" s="16">
        <f t="shared" si="0"/>
        <v>9.1037402964008474E-2</v>
      </c>
      <c r="I16" s="9">
        <f>88+40</f>
        <v>128</v>
      </c>
      <c r="J16" s="17">
        <f t="shared" si="1"/>
        <v>6.8339562199679654E-2</v>
      </c>
      <c r="L16" s="11">
        <f t="shared" si="2"/>
        <v>257</v>
      </c>
      <c r="M16" s="56">
        <f t="shared" si="3"/>
        <v>7.8115501519756839E-2</v>
      </c>
    </row>
    <row r="17" spans="2:13" x14ac:dyDescent="0.2">
      <c r="B17" s="117" t="s">
        <v>35</v>
      </c>
      <c r="C17" s="120">
        <v>9.8000000000000004E-2</v>
      </c>
      <c r="D17" s="119">
        <v>9.5000000000000001E-2</v>
      </c>
      <c r="F17" s="6" t="s">
        <v>10</v>
      </c>
      <c r="G17" s="9">
        <f>29+111</f>
        <v>140</v>
      </c>
      <c r="H17" s="16">
        <f t="shared" si="0"/>
        <v>9.8800282286520824E-2</v>
      </c>
      <c r="I17" s="9">
        <f>95+10</f>
        <v>105</v>
      </c>
      <c r="J17" s="17">
        <f t="shared" si="1"/>
        <v>5.6059797116924721E-2</v>
      </c>
      <c r="L17" s="11">
        <f t="shared" si="2"/>
        <v>245</v>
      </c>
      <c r="M17" s="56">
        <f t="shared" si="3"/>
        <v>7.4468085106382975E-2</v>
      </c>
    </row>
    <row r="18" spans="2:13" ht="13.5" thickBot="1" x14ac:dyDescent="0.25">
      <c r="B18" s="121" t="s">
        <v>36</v>
      </c>
      <c r="C18" s="122">
        <v>0.14799999999999999</v>
      </c>
      <c r="D18" s="123">
        <v>9.5000000000000001E-2</v>
      </c>
      <c r="F18" s="7" t="s">
        <v>11</v>
      </c>
      <c r="G18" s="18">
        <f>31+165</f>
        <v>196</v>
      </c>
      <c r="H18" s="19">
        <f t="shared" si="0"/>
        <v>0.13832039520112915</v>
      </c>
      <c r="I18" s="18">
        <f>83+24</f>
        <v>107</v>
      </c>
      <c r="J18" s="20">
        <f t="shared" si="1"/>
        <v>5.7127602776294716E-2</v>
      </c>
      <c r="L18" s="11">
        <f t="shared" si="2"/>
        <v>303</v>
      </c>
      <c r="M18" s="56">
        <f t="shared" si="3"/>
        <v>9.2097264437689966E-2</v>
      </c>
    </row>
    <row r="19" spans="2:13" ht="14.25" thickTop="1" thickBot="1" x14ac:dyDescent="0.25">
      <c r="B19" s="124"/>
      <c r="C19" s="125">
        <f>SUM(C7:C18)</f>
        <v>0.82200000000000006</v>
      </c>
      <c r="D19" s="126">
        <f>SUM(D7:D18)</f>
        <v>0.82600000000000007</v>
      </c>
      <c r="F19" s="1" t="s">
        <v>61</v>
      </c>
      <c r="H19" s="21">
        <f>SUM(H7:H18)</f>
        <v>0.77840508115737483</v>
      </c>
      <c r="J19" s="21">
        <f>SUM(J7:J18)</f>
        <v>0.77843032568072612</v>
      </c>
    </row>
    <row r="20" spans="2:13" ht="13.5" thickTop="1" x14ac:dyDescent="0.2">
      <c r="F20" s="1" t="s">
        <v>21</v>
      </c>
      <c r="G20" s="11">
        <f>292+1125</f>
        <v>1417</v>
      </c>
      <c r="H20" s="21"/>
      <c r="I20" s="11">
        <f>1566+307</f>
        <v>1873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94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v>8</v>
      </c>
      <c r="H25" s="14">
        <f>G25/G38</f>
        <v>1.415929203539823E-2</v>
      </c>
      <c r="I25" s="13">
        <v>25</v>
      </c>
      <c r="J25" s="15">
        <f>I25/I38</f>
        <v>4.3327556325823226E-2</v>
      </c>
    </row>
    <row r="26" spans="2:13" x14ac:dyDescent="0.2">
      <c r="F26" s="6" t="s">
        <v>1</v>
      </c>
      <c r="G26" s="9">
        <v>14</v>
      </c>
      <c r="H26" s="16">
        <f t="shared" ref="H26:H36" si="4">G26/$G$38</f>
        <v>2.4778761061946902E-2</v>
      </c>
      <c r="I26" s="9">
        <v>43</v>
      </c>
      <c r="J26" s="17">
        <f t="shared" ref="J26:J36" si="5">I26/$I$38</f>
        <v>7.452339688041594E-2</v>
      </c>
    </row>
    <row r="27" spans="2:13" x14ac:dyDescent="0.2">
      <c r="F27" s="6" t="s">
        <v>2</v>
      </c>
      <c r="G27" s="9">
        <v>16</v>
      </c>
      <c r="H27" s="16">
        <f t="shared" si="4"/>
        <v>2.831858407079646E-2</v>
      </c>
      <c r="I27" s="9">
        <v>20</v>
      </c>
      <c r="J27" s="17">
        <f t="shared" si="5"/>
        <v>3.4662045060658578E-2</v>
      </c>
    </row>
    <row r="28" spans="2:13" x14ac:dyDescent="0.2">
      <c r="F28" s="6" t="s">
        <v>3</v>
      </c>
      <c r="G28" s="9">
        <v>26</v>
      </c>
      <c r="H28" s="16">
        <f t="shared" si="4"/>
        <v>4.6017699115044247E-2</v>
      </c>
      <c r="I28" s="9">
        <v>20</v>
      </c>
      <c r="J28" s="17">
        <f t="shared" si="5"/>
        <v>3.4662045060658578E-2</v>
      </c>
    </row>
    <row r="29" spans="2:13" x14ac:dyDescent="0.2">
      <c r="F29" s="6" t="s">
        <v>4</v>
      </c>
      <c r="G29" s="9">
        <v>15</v>
      </c>
      <c r="H29" s="16">
        <f t="shared" si="4"/>
        <v>2.6548672566371681E-2</v>
      </c>
      <c r="I29" s="9">
        <v>24</v>
      </c>
      <c r="J29" s="17">
        <f t="shared" si="5"/>
        <v>4.1594454072790298E-2</v>
      </c>
    </row>
    <row r="30" spans="2:13" x14ac:dyDescent="0.2">
      <c r="F30" s="6" t="s">
        <v>5</v>
      </c>
      <c r="G30" s="9">
        <v>31</v>
      </c>
      <c r="H30" s="16">
        <f t="shared" si="4"/>
        <v>5.4867256637168141E-2</v>
      </c>
      <c r="I30" s="9">
        <v>29</v>
      </c>
      <c r="J30" s="17">
        <f t="shared" si="5"/>
        <v>5.0259965337954939E-2</v>
      </c>
    </row>
    <row r="31" spans="2:13" x14ac:dyDescent="0.2">
      <c r="F31" s="6" t="s">
        <v>6</v>
      </c>
      <c r="G31" s="9">
        <v>43</v>
      </c>
      <c r="H31" s="16">
        <f t="shared" si="4"/>
        <v>7.6106194690265486E-2</v>
      </c>
      <c r="I31" s="9">
        <v>30</v>
      </c>
      <c r="J31" s="17">
        <f t="shared" si="5"/>
        <v>5.1993067590987867E-2</v>
      </c>
    </row>
    <row r="32" spans="2:13" x14ac:dyDescent="0.2">
      <c r="F32" s="6" t="s">
        <v>7</v>
      </c>
      <c r="G32" s="9">
        <v>84</v>
      </c>
      <c r="H32" s="16">
        <f t="shared" si="4"/>
        <v>0.14867256637168141</v>
      </c>
      <c r="I32" s="9">
        <v>46</v>
      </c>
      <c r="J32" s="17">
        <f t="shared" si="5"/>
        <v>7.9722703639514725E-2</v>
      </c>
    </row>
    <row r="33" spans="6:10" x14ac:dyDescent="0.2">
      <c r="F33" s="6" t="s">
        <v>8</v>
      </c>
      <c r="G33" s="9">
        <v>57</v>
      </c>
      <c r="H33" s="16">
        <f t="shared" si="4"/>
        <v>0.10088495575221239</v>
      </c>
      <c r="I33" s="9">
        <v>49</v>
      </c>
      <c r="J33" s="17">
        <f t="shared" si="5"/>
        <v>8.4922010398613523E-2</v>
      </c>
    </row>
    <row r="34" spans="6:10" x14ac:dyDescent="0.2">
      <c r="F34" s="6" t="s">
        <v>9</v>
      </c>
      <c r="G34" s="9">
        <v>39</v>
      </c>
      <c r="H34" s="16">
        <f t="shared" si="4"/>
        <v>6.9026548672566371E-2</v>
      </c>
      <c r="I34" s="9">
        <v>40</v>
      </c>
      <c r="J34" s="17">
        <f t="shared" si="5"/>
        <v>6.9324090121317156E-2</v>
      </c>
    </row>
    <row r="35" spans="6:10" x14ac:dyDescent="0.2">
      <c r="F35" s="6" t="s">
        <v>10</v>
      </c>
      <c r="G35" s="9">
        <v>44</v>
      </c>
      <c r="H35" s="16">
        <f t="shared" si="4"/>
        <v>7.7876106194690264E-2</v>
      </c>
      <c r="I35" s="9">
        <v>74</v>
      </c>
      <c r="J35" s="17">
        <f t="shared" si="5"/>
        <v>0.12824956672443674</v>
      </c>
    </row>
    <row r="36" spans="6:10" ht="13.5" thickBot="1" x14ac:dyDescent="0.25">
      <c r="F36" s="7" t="s">
        <v>11</v>
      </c>
      <c r="G36" s="18">
        <v>102</v>
      </c>
      <c r="H36" s="19">
        <f t="shared" si="4"/>
        <v>0.18053097345132743</v>
      </c>
      <c r="I36" s="18">
        <v>89</v>
      </c>
      <c r="J36" s="20">
        <f t="shared" si="5"/>
        <v>0.15424610051993068</v>
      </c>
    </row>
    <row r="37" spans="6:10" ht="13.5" thickTop="1" x14ac:dyDescent="0.2">
      <c r="F37" s="12" t="s">
        <v>95</v>
      </c>
      <c r="H37" s="21">
        <f>SUM(H25:H36)</f>
        <v>0.84778761061946906</v>
      </c>
      <c r="J37" s="21">
        <f>SUM(J25:J36)</f>
        <v>0.84748700173310232</v>
      </c>
    </row>
    <row r="38" spans="6:10" x14ac:dyDescent="0.2">
      <c r="F38" s="1" t="s">
        <v>21</v>
      </c>
      <c r="G38" s="11">
        <v>565</v>
      </c>
      <c r="H38" s="21"/>
      <c r="I38" s="11">
        <v>577</v>
      </c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151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3+6</f>
        <v>9</v>
      </c>
      <c r="H43" s="14">
        <f>G43/G56</f>
        <v>2.5000000000000001E-2</v>
      </c>
      <c r="I43" s="13">
        <f>10+33</f>
        <v>43</v>
      </c>
      <c r="J43" s="15">
        <f>I43/I56</f>
        <v>9.3478260869565219E-2</v>
      </c>
    </row>
    <row r="44" spans="6:10" x14ac:dyDescent="0.2">
      <c r="F44" s="6" t="s">
        <v>1</v>
      </c>
      <c r="G44" s="9">
        <f>6+15</f>
        <v>21</v>
      </c>
      <c r="H44" s="16">
        <f t="shared" ref="H44:H54" si="6">G44/$G$56</f>
        <v>5.8333333333333334E-2</v>
      </c>
      <c r="I44" s="9">
        <f>24+40</f>
        <v>64</v>
      </c>
      <c r="J44" s="17">
        <f t="shared" ref="J44:J54" si="7">I44/$I$56</f>
        <v>0.1391304347826087</v>
      </c>
    </row>
    <row r="45" spans="6:10" x14ac:dyDescent="0.2">
      <c r="F45" s="6" t="s">
        <v>2</v>
      </c>
      <c r="G45" s="9">
        <f>12+8+1</f>
        <v>21</v>
      </c>
      <c r="H45" s="16">
        <f t="shared" si="6"/>
        <v>5.8333333333333334E-2</v>
      </c>
      <c r="I45" s="9">
        <f>3+20</f>
        <v>23</v>
      </c>
      <c r="J45" s="17">
        <f t="shared" si="7"/>
        <v>0.05</v>
      </c>
    </row>
    <row r="46" spans="6:10" x14ac:dyDescent="0.2">
      <c r="F46" s="6" t="s">
        <v>3</v>
      </c>
      <c r="G46" s="9">
        <f>12+5</f>
        <v>17</v>
      </c>
      <c r="H46" s="16">
        <f t="shared" si="6"/>
        <v>4.7222222222222221E-2</v>
      </c>
      <c r="I46" s="9">
        <f>8+1+19</f>
        <v>28</v>
      </c>
      <c r="J46" s="17">
        <f t="shared" si="7"/>
        <v>6.0869565217391307E-2</v>
      </c>
    </row>
    <row r="47" spans="6:10" x14ac:dyDescent="0.2">
      <c r="F47" s="6" t="s">
        <v>4</v>
      </c>
      <c r="G47" s="9">
        <f>12+6</f>
        <v>18</v>
      </c>
      <c r="H47" s="16">
        <f t="shared" si="6"/>
        <v>0.05</v>
      </c>
      <c r="I47" s="9">
        <f>9+15</f>
        <v>24</v>
      </c>
      <c r="J47" s="17">
        <f t="shared" si="7"/>
        <v>5.2173913043478258E-2</v>
      </c>
    </row>
    <row r="48" spans="6:10" x14ac:dyDescent="0.2">
      <c r="F48" s="6" t="s">
        <v>5</v>
      </c>
      <c r="G48" s="9">
        <f>11+8</f>
        <v>19</v>
      </c>
      <c r="H48" s="16">
        <f t="shared" si="6"/>
        <v>5.2777777777777778E-2</v>
      </c>
      <c r="I48" s="9">
        <f>8+1+13</f>
        <v>22</v>
      </c>
      <c r="J48" s="17">
        <f t="shared" si="7"/>
        <v>4.7826086956521741E-2</v>
      </c>
    </row>
    <row r="49" spans="6:10" x14ac:dyDescent="0.2">
      <c r="F49" s="6" t="s">
        <v>6</v>
      </c>
      <c r="G49" s="9">
        <f>19+5</f>
        <v>24</v>
      </c>
      <c r="H49" s="16">
        <f t="shared" si="6"/>
        <v>6.6666666666666666E-2</v>
      </c>
      <c r="I49" s="9">
        <f>6+1+16</f>
        <v>23</v>
      </c>
      <c r="J49" s="17">
        <f t="shared" si="7"/>
        <v>0.05</v>
      </c>
    </row>
    <row r="50" spans="6:10" x14ac:dyDescent="0.2">
      <c r="F50" s="6" t="s">
        <v>7</v>
      </c>
      <c r="G50" s="9">
        <f>12+7</f>
        <v>19</v>
      </c>
      <c r="H50" s="16">
        <f t="shared" si="6"/>
        <v>5.2777777777777778E-2</v>
      </c>
      <c r="I50" s="9">
        <f>12+12</f>
        <v>24</v>
      </c>
      <c r="J50" s="17">
        <f t="shared" si="7"/>
        <v>5.2173913043478258E-2</v>
      </c>
    </row>
    <row r="51" spans="6:10" x14ac:dyDescent="0.2">
      <c r="F51" s="6" t="s">
        <v>8</v>
      </c>
      <c r="G51" s="9">
        <f>18+9</f>
        <v>27</v>
      </c>
      <c r="H51" s="16">
        <f t="shared" si="6"/>
        <v>7.4999999999999997E-2</v>
      </c>
      <c r="I51" s="9">
        <f>9+1+19</f>
        <v>29</v>
      </c>
      <c r="J51" s="17">
        <f t="shared" si="7"/>
        <v>6.3043478260869562E-2</v>
      </c>
    </row>
    <row r="52" spans="6:10" x14ac:dyDescent="0.2">
      <c r="F52" s="6" t="s">
        <v>9</v>
      </c>
      <c r="G52" s="9">
        <f>30+11</f>
        <v>41</v>
      </c>
      <c r="H52" s="16">
        <f t="shared" si="6"/>
        <v>0.11388888888888889</v>
      </c>
      <c r="I52" s="9">
        <f>9+18</f>
        <v>27</v>
      </c>
      <c r="J52" s="17">
        <f t="shared" si="7"/>
        <v>5.8695652173913045E-2</v>
      </c>
    </row>
    <row r="53" spans="6:10" x14ac:dyDescent="0.2">
      <c r="F53" s="6" t="s">
        <v>10</v>
      </c>
      <c r="G53" s="9">
        <f>27+15</f>
        <v>42</v>
      </c>
      <c r="H53" s="16">
        <f t="shared" si="6"/>
        <v>0.11666666666666667</v>
      </c>
      <c r="I53" s="9">
        <f>17+29</f>
        <v>46</v>
      </c>
      <c r="J53" s="17">
        <f t="shared" si="7"/>
        <v>0.1</v>
      </c>
    </row>
    <row r="54" spans="6:10" ht="13.5" thickBot="1" x14ac:dyDescent="0.25">
      <c r="F54" s="7" t="s">
        <v>11</v>
      </c>
      <c r="G54" s="18">
        <f>31+14</f>
        <v>45</v>
      </c>
      <c r="H54" s="19">
        <f t="shared" si="6"/>
        <v>0.125</v>
      </c>
      <c r="I54" s="18">
        <f>11+23</f>
        <v>34</v>
      </c>
      <c r="J54" s="20">
        <f t="shared" si="7"/>
        <v>7.3913043478260873E-2</v>
      </c>
    </row>
    <row r="55" spans="6:10" ht="13.5" thickTop="1" x14ac:dyDescent="0.2">
      <c r="F55" s="12" t="s">
        <v>152</v>
      </c>
      <c r="G55" s="11">
        <f>193+109+1</f>
        <v>303</v>
      </c>
      <c r="H55" s="21">
        <f>SUM(H43:H54)</f>
        <v>0.84166666666666667</v>
      </c>
      <c r="I55" s="11">
        <f>126+4+257</f>
        <v>387</v>
      </c>
      <c r="J55" s="21">
        <f>SUM(J43:J54)</f>
        <v>0.84130434782608687</v>
      </c>
    </row>
    <row r="56" spans="6:10" x14ac:dyDescent="0.2">
      <c r="F56" s="1" t="s">
        <v>21</v>
      </c>
      <c r="G56" s="11">
        <f>230+130</f>
        <v>360</v>
      </c>
      <c r="H56" s="21"/>
      <c r="I56" s="11">
        <f>150+310</f>
        <v>460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>+G7+G25+G43</f>
        <v>37</v>
      </c>
      <c r="H62" s="14">
        <f>AVERAGE(H7,H25,H43)</f>
        <v>1.7757872692109926E-2</v>
      </c>
      <c r="I62" s="13">
        <f t="shared" ref="I62:I73" si="8">+I7+I25+I43</f>
        <v>184</v>
      </c>
      <c r="J62" s="15">
        <f>+AVERAGE(J7,J25,J43)</f>
        <v>6.6246181812949376E-2</v>
      </c>
    </row>
    <row r="63" spans="6:10" x14ac:dyDescent="0.2">
      <c r="F63" s="6" t="s">
        <v>27</v>
      </c>
      <c r="G63" s="9">
        <f t="shared" ref="G63:G73" si="9">+G8+G26+G44</f>
        <v>93</v>
      </c>
      <c r="H63" s="22">
        <f t="shared" ref="H63:H73" si="10">AVERAGE(H8,H26,H44)</f>
        <v>4.1347879971327238E-2</v>
      </c>
      <c r="I63" s="9">
        <f t="shared" si="8"/>
        <v>307</v>
      </c>
      <c r="J63" s="17">
        <f t="shared" ref="J63:J73" si="11">+AVERAGE(J8,J26,J44)</f>
        <v>0.10681146586667471</v>
      </c>
    </row>
    <row r="64" spans="6:10" x14ac:dyDescent="0.2">
      <c r="F64" s="6" t="s">
        <v>28</v>
      </c>
      <c r="G64" s="9">
        <f t="shared" si="9"/>
        <v>111</v>
      </c>
      <c r="H64" s="22">
        <f t="shared" si="10"/>
        <v>4.6291641251858841E-2</v>
      </c>
      <c r="I64" s="9">
        <f t="shared" si="8"/>
        <v>203</v>
      </c>
      <c r="J64" s="17">
        <f t="shared" si="11"/>
        <v>5.6695499270086047E-2</v>
      </c>
    </row>
    <row r="65" spans="6:10" x14ac:dyDescent="0.2">
      <c r="F65" s="6" t="s">
        <v>29</v>
      </c>
      <c r="G65" s="9">
        <f t="shared" si="9"/>
        <v>116</v>
      </c>
      <c r="H65" s="22">
        <f t="shared" si="10"/>
        <v>4.8252403795555537E-2</v>
      </c>
      <c r="I65" s="9">
        <f t="shared" si="8"/>
        <v>170</v>
      </c>
      <c r="J65" s="17">
        <f t="shared" si="11"/>
        <v>5.3555918499873185E-2</v>
      </c>
    </row>
    <row r="66" spans="6:10" x14ac:dyDescent="0.2">
      <c r="F66" s="6" t="s">
        <v>30</v>
      </c>
      <c r="G66" s="9">
        <f t="shared" si="9"/>
        <v>95</v>
      </c>
      <c r="H66" s="22">
        <f t="shared" si="10"/>
        <v>4.0101027764419823E-2</v>
      </c>
      <c r="I66" s="9">
        <f t="shared" si="8"/>
        <v>151</v>
      </c>
      <c r="J66" s="17">
        <f t="shared" si="11"/>
        <v>4.9586786191274428E-2</v>
      </c>
    </row>
    <row r="67" spans="6:10" x14ac:dyDescent="0.2">
      <c r="F67" s="6" t="s">
        <v>37</v>
      </c>
      <c r="G67" s="9">
        <f t="shared" si="9"/>
        <v>118</v>
      </c>
      <c r="H67" s="22">
        <f t="shared" si="10"/>
        <v>5.1877914318037725E-2</v>
      </c>
      <c r="I67" s="9">
        <f t="shared" si="8"/>
        <v>151</v>
      </c>
      <c r="J67" s="17">
        <f t="shared" si="11"/>
        <v>5.0492111754325469E-2</v>
      </c>
    </row>
    <row r="68" spans="6:10" x14ac:dyDescent="0.2">
      <c r="F68" s="6" t="s">
        <v>31</v>
      </c>
      <c r="G68" s="9">
        <f t="shared" si="9"/>
        <v>164</v>
      </c>
      <c r="H68" s="22">
        <f t="shared" si="10"/>
        <v>7.0409114218483379E-2</v>
      </c>
      <c r="I68" s="9">
        <f t="shared" si="8"/>
        <v>164</v>
      </c>
      <c r="J68" s="17">
        <f t="shared" si="11"/>
        <v>5.3752093895340858E-2</v>
      </c>
    </row>
    <row r="69" spans="6:10" x14ac:dyDescent="0.2">
      <c r="F69" s="6" t="s">
        <v>32</v>
      </c>
      <c r="G69" s="9">
        <f t="shared" si="9"/>
        <v>195</v>
      </c>
      <c r="H69" s="22">
        <f t="shared" si="10"/>
        <v>8.8792081312581428E-2</v>
      </c>
      <c r="I69" s="9">
        <f t="shared" si="8"/>
        <v>174</v>
      </c>
      <c r="J69" s="17">
        <f t="shared" si="11"/>
        <v>6.2474170323410905E-2</v>
      </c>
    </row>
    <row r="70" spans="6:10" x14ac:dyDescent="0.2">
      <c r="F70" s="6" t="s">
        <v>33</v>
      </c>
      <c r="G70" s="9">
        <f t="shared" si="9"/>
        <v>178</v>
      </c>
      <c r="H70" s="22">
        <f t="shared" si="10"/>
        <v>8.0740762714863565E-2</v>
      </c>
      <c r="I70" s="9">
        <f t="shared" si="8"/>
        <v>180</v>
      </c>
      <c r="J70" s="17">
        <f t="shared" si="11"/>
        <v>6.7474525762450929E-2</v>
      </c>
    </row>
    <row r="71" spans="6:10" x14ac:dyDescent="0.2">
      <c r="F71" s="6" t="s">
        <v>34</v>
      </c>
      <c r="G71" s="9">
        <f t="shared" si="9"/>
        <v>209</v>
      </c>
      <c r="H71" s="22">
        <f t="shared" si="10"/>
        <v>9.1317613508487896E-2</v>
      </c>
      <c r="I71" s="9">
        <f t="shared" si="8"/>
        <v>195</v>
      </c>
      <c r="J71" s="17">
        <f t="shared" si="11"/>
        <v>6.5453101498303287E-2</v>
      </c>
    </row>
    <row r="72" spans="6:10" x14ac:dyDescent="0.2">
      <c r="F72" s="6" t="s">
        <v>35</v>
      </c>
      <c r="G72" s="9">
        <f t="shared" si="9"/>
        <v>226</v>
      </c>
      <c r="H72" s="22">
        <f t="shared" si="10"/>
        <v>9.7781018382625914E-2</v>
      </c>
      <c r="I72" s="9">
        <f t="shared" si="8"/>
        <v>225</v>
      </c>
      <c r="J72" s="17">
        <f t="shared" si="11"/>
        <v>9.4769787947120487E-2</v>
      </c>
    </row>
    <row r="73" spans="6:10" ht="13.5" thickBot="1" x14ac:dyDescent="0.25">
      <c r="F73" s="7" t="s">
        <v>36</v>
      </c>
      <c r="G73" s="18">
        <f t="shared" si="9"/>
        <v>343</v>
      </c>
      <c r="H73" s="19">
        <f t="shared" si="10"/>
        <v>0.14795045621748551</v>
      </c>
      <c r="I73" s="18">
        <f t="shared" si="8"/>
        <v>230</v>
      </c>
      <c r="J73" s="20">
        <f t="shared" si="11"/>
        <v>9.5095582258162101E-2</v>
      </c>
    </row>
    <row r="74" spans="6:10" ht="13.5" thickTop="1" x14ac:dyDescent="0.2">
      <c r="F74" s="12" t="s">
        <v>25</v>
      </c>
      <c r="H74" s="21">
        <f>SUM(H62:H73)</f>
        <v>0.82261978614783671</v>
      </c>
      <c r="J74" s="21">
        <f>SUM(J62:J73)</f>
        <v>0.82240722507997166</v>
      </c>
    </row>
    <row r="75" spans="6:10" x14ac:dyDescent="0.2">
      <c r="F75" s="1" t="s">
        <v>21</v>
      </c>
      <c r="G75" s="11">
        <f>+G20+G38+G56</f>
        <v>2342</v>
      </c>
      <c r="H75" s="21"/>
      <c r="I75" s="11">
        <f>+I20+I38+I56</f>
        <v>2910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x14ac:dyDescent="0.2">
      <c r="B2" s="232" t="s">
        <v>185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4.8000000000000001E-2</v>
      </c>
      <c r="D7" s="163">
        <v>5.0000000000000001E-3</v>
      </c>
      <c r="E7" s="164">
        <v>6.8000000000000005E-2</v>
      </c>
      <c r="F7" s="163">
        <v>8.0000000000000002E-3</v>
      </c>
      <c r="G7" s="164">
        <v>5.3999999999999999E-2</v>
      </c>
      <c r="H7" s="165">
        <v>6.0000000000000001E-3</v>
      </c>
    </row>
    <row r="8" spans="2:26" x14ac:dyDescent="0.2">
      <c r="B8" s="117" t="s">
        <v>27</v>
      </c>
      <c r="C8" s="149">
        <v>6.3E-2</v>
      </c>
      <c r="D8" s="166">
        <v>1.2999999999999999E-2</v>
      </c>
      <c r="E8" s="120">
        <v>7.6999999999999999E-2</v>
      </c>
      <c r="F8" s="166">
        <v>1.6E-2</v>
      </c>
      <c r="G8" s="120">
        <v>7.0000000000000007E-2</v>
      </c>
      <c r="H8" s="167">
        <v>8.0000000000000002E-3</v>
      </c>
    </row>
    <row r="9" spans="2:26" x14ac:dyDescent="0.2">
      <c r="B9" s="117" t="s">
        <v>28</v>
      </c>
      <c r="C9" s="149">
        <v>7.3999999999999996E-2</v>
      </c>
      <c r="D9" s="166">
        <v>2.1999999999999999E-2</v>
      </c>
      <c r="E9" s="120">
        <v>0.08</v>
      </c>
      <c r="F9" s="166">
        <v>2.5999999999999999E-2</v>
      </c>
      <c r="G9" s="120">
        <v>7.2999999999999995E-2</v>
      </c>
      <c r="H9" s="167">
        <v>2.4E-2</v>
      </c>
    </row>
    <row r="10" spans="2:26" x14ac:dyDescent="0.2">
      <c r="B10" s="117" t="s">
        <v>29</v>
      </c>
      <c r="C10" s="149">
        <v>9.5000000000000001E-2</v>
      </c>
      <c r="D10" s="166">
        <v>3.5999999999999997E-2</v>
      </c>
      <c r="E10" s="120">
        <v>8.8999999999999996E-2</v>
      </c>
      <c r="F10" s="166">
        <v>5.6000000000000001E-2</v>
      </c>
      <c r="G10" s="120">
        <v>0.08</v>
      </c>
      <c r="H10" s="167">
        <v>3.5000000000000003E-2</v>
      </c>
    </row>
    <row r="11" spans="2:26" x14ac:dyDescent="0.2">
      <c r="B11" s="117" t="s">
        <v>30</v>
      </c>
      <c r="C11" s="149">
        <v>8.3000000000000004E-2</v>
      </c>
      <c r="D11" s="166">
        <v>4.9000000000000002E-2</v>
      </c>
      <c r="E11" s="120">
        <v>8.4000000000000005E-2</v>
      </c>
      <c r="F11" s="166">
        <v>6.3E-2</v>
      </c>
      <c r="G11" s="120">
        <v>7.6999999999999999E-2</v>
      </c>
      <c r="H11" s="167">
        <v>7.3999999999999996E-2</v>
      </c>
    </row>
    <row r="12" spans="2:26" x14ac:dyDescent="0.2">
      <c r="B12" s="117" t="s">
        <v>37</v>
      </c>
      <c r="C12" s="149">
        <v>8.6999999999999994E-2</v>
      </c>
      <c r="D12" s="166">
        <v>6.8000000000000005E-2</v>
      </c>
      <c r="E12" s="120">
        <v>7.4999999999999997E-2</v>
      </c>
      <c r="F12" s="166">
        <v>6.0999999999999999E-2</v>
      </c>
      <c r="G12" s="120">
        <v>8.5000000000000006E-2</v>
      </c>
      <c r="H12" s="167">
        <v>8.2000000000000003E-2</v>
      </c>
    </row>
    <row r="13" spans="2:26" x14ac:dyDescent="0.2">
      <c r="B13" s="117" t="s">
        <v>31</v>
      </c>
      <c r="C13" s="149">
        <v>0.10199999999999999</v>
      </c>
      <c r="D13" s="166">
        <v>8.7999999999999995E-2</v>
      </c>
      <c r="E13" s="120">
        <v>6.4000000000000001E-2</v>
      </c>
      <c r="F13" s="166">
        <v>7.5999999999999998E-2</v>
      </c>
      <c r="G13" s="120">
        <v>9.0999999999999998E-2</v>
      </c>
      <c r="H13" s="167">
        <v>7.9000000000000001E-2</v>
      </c>
    </row>
    <row r="14" spans="2:26" x14ac:dyDescent="0.2">
      <c r="B14" s="117" t="s">
        <v>32</v>
      </c>
      <c r="C14" s="149">
        <v>8.2000000000000003E-2</v>
      </c>
      <c r="D14" s="166">
        <v>9.4E-2</v>
      </c>
      <c r="E14" s="120">
        <v>7.4999999999999997E-2</v>
      </c>
      <c r="F14" s="166">
        <v>7.9000000000000001E-2</v>
      </c>
      <c r="G14" s="120">
        <v>8.7999999999999995E-2</v>
      </c>
      <c r="H14" s="167">
        <v>8.3000000000000004E-2</v>
      </c>
    </row>
    <row r="15" spans="2:26" x14ac:dyDescent="0.2">
      <c r="B15" s="117" t="s">
        <v>33</v>
      </c>
      <c r="C15" s="149">
        <v>6.5000000000000002E-2</v>
      </c>
      <c r="D15" s="166">
        <v>9.5000000000000001E-2</v>
      </c>
      <c r="E15" s="120">
        <v>6.8000000000000005E-2</v>
      </c>
      <c r="F15" s="166">
        <v>8.6999999999999994E-2</v>
      </c>
      <c r="G15" s="120">
        <v>7.3999999999999996E-2</v>
      </c>
      <c r="H15" s="167">
        <v>9.1999999999999998E-2</v>
      </c>
    </row>
    <row r="16" spans="2:26" x14ac:dyDescent="0.2">
      <c r="B16" s="117" t="s">
        <v>34</v>
      </c>
      <c r="C16" s="149">
        <v>7.0999999999999994E-2</v>
      </c>
      <c r="D16" s="166">
        <v>0.10100000000000001</v>
      </c>
      <c r="E16" s="120">
        <v>6.8000000000000005E-2</v>
      </c>
      <c r="F16" s="166">
        <v>0.09</v>
      </c>
      <c r="G16" s="120">
        <v>7.6999999999999999E-2</v>
      </c>
      <c r="H16" s="167">
        <v>9.5000000000000001E-2</v>
      </c>
    </row>
    <row r="17" spans="2:8" x14ac:dyDescent="0.2">
      <c r="B17" s="117" t="s">
        <v>35</v>
      </c>
      <c r="C17" s="149">
        <v>7.1999999999999995E-2</v>
      </c>
      <c r="D17" s="166">
        <v>8.8999999999999996E-2</v>
      </c>
      <c r="E17" s="120">
        <v>8.1000000000000003E-2</v>
      </c>
      <c r="F17" s="166">
        <v>8.2000000000000003E-2</v>
      </c>
      <c r="G17" s="120">
        <v>0.06</v>
      </c>
      <c r="H17" s="167">
        <v>9.9000000000000005E-2</v>
      </c>
    </row>
    <row r="18" spans="2:8" x14ac:dyDescent="0.2">
      <c r="B18" s="117" t="s">
        <v>36</v>
      </c>
      <c r="C18" s="149">
        <v>5.7000000000000002E-2</v>
      </c>
      <c r="D18" s="166">
        <v>9.0999999999999998E-2</v>
      </c>
      <c r="E18" s="120">
        <v>4.3999999999999997E-2</v>
      </c>
      <c r="F18" s="166">
        <v>0.122</v>
      </c>
      <c r="G18" s="120">
        <v>4.8000000000000001E-2</v>
      </c>
      <c r="H18" s="167">
        <v>9.4E-2</v>
      </c>
    </row>
    <row r="19" spans="2:8" x14ac:dyDescent="0.2">
      <c r="B19" s="159" t="s">
        <v>141</v>
      </c>
      <c r="C19" s="149">
        <v>0.04</v>
      </c>
      <c r="D19" s="166">
        <v>9.2999999999999999E-2</v>
      </c>
      <c r="E19" s="120">
        <v>5.0999999999999997E-2</v>
      </c>
      <c r="F19" s="166">
        <v>7.5999999999999998E-2</v>
      </c>
      <c r="G19" s="120">
        <v>3.6999999999999998E-2</v>
      </c>
      <c r="H19" s="167">
        <v>7.4999999999999997E-2</v>
      </c>
    </row>
    <row r="20" spans="2:8" x14ac:dyDescent="0.2">
      <c r="B20" s="157" t="s">
        <v>142</v>
      </c>
      <c r="C20" s="149">
        <v>2.9000000000000001E-2</v>
      </c>
      <c r="D20" s="166">
        <v>7.5999999999999998E-2</v>
      </c>
      <c r="E20" s="120">
        <v>1.7999999999999999E-2</v>
      </c>
      <c r="F20" s="166">
        <v>5.8999999999999997E-2</v>
      </c>
      <c r="G20" s="120">
        <v>2.1000000000000001E-2</v>
      </c>
      <c r="H20" s="167">
        <v>0.08</v>
      </c>
    </row>
    <row r="21" spans="2:8" x14ac:dyDescent="0.2">
      <c r="B21" s="157" t="s">
        <v>160</v>
      </c>
      <c r="C21" s="149">
        <v>1.2E-2</v>
      </c>
      <c r="D21" s="166">
        <v>5.6000000000000001E-2</v>
      </c>
      <c r="E21" s="120">
        <v>0.01</v>
      </c>
      <c r="F21" s="166">
        <v>4.3999999999999997E-2</v>
      </c>
      <c r="G21" s="120">
        <v>8.9999999999999993E-3</v>
      </c>
      <c r="H21" s="167">
        <v>4.2000000000000003E-2</v>
      </c>
    </row>
    <row r="22" spans="2:8" x14ac:dyDescent="0.2">
      <c r="B22" s="157" t="s">
        <v>161</v>
      </c>
      <c r="C22" s="149">
        <v>3.0000000000000001E-3</v>
      </c>
      <c r="D22" s="166">
        <v>1.4999999999999999E-2</v>
      </c>
      <c r="E22" s="120">
        <v>2E-3</v>
      </c>
      <c r="F22" s="166">
        <v>1.2999999999999999E-2</v>
      </c>
      <c r="G22" s="120">
        <v>2E-3</v>
      </c>
      <c r="H22" s="167">
        <v>1.0999999999999999E-2</v>
      </c>
    </row>
    <row r="23" spans="2:8" ht="13.5" thickBot="1" x14ac:dyDescent="0.25">
      <c r="B23" s="160" t="s">
        <v>186</v>
      </c>
      <c r="C23" s="150">
        <v>1.7000000000000001E-2</v>
      </c>
      <c r="D23" s="168">
        <v>8.9999999999999993E-3</v>
      </c>
      <c r="E23" s="169">
        <v>4.5999999999999999E-2</v>
      </c>
      <c r="F23" s="168">
        <v>4.2000000000000003E-2</v>
      </c>
      <c r="G23" s="169">
        <v>5.3999999999999999E-2</v>
      </c>
      <c r="H23" s="170">
        <v>2.1999999999999999E-2</v>
      </c>
    </row>
    <row r="24" spans="2:8" ht="13.5" thickBot="1" x14ac:dyDescent="0.25">
      <c r="B24" s="142"/>
      <c r="C24" s="143">
        <f>SUM(C7:C23)</f>
        <v>1</v>
      </c>
      <c r="D24" s="161">
        <f t="shared" ref="D24:H24" si="0">SUM(D7:D23)</f>
        <v>0.99999999999999989</v>
      </c>
      <c r="E24" s="143">
        <f t="shared" si="0"/>
        <v>1.0000000000000002</v>
      </c>
      <c r="F24" s="161">
        <f t="shared" si="0"/>
        <v>0.99999999999999989</v>
      </c>
      <c r="G24" s="143">
        <f t="shared" si="0"/>
        <v>1</v>
      </c>
      <c r="H24" s="144">
        <f t="shared" si="0"/>
        <v>1.0009999999999999</v>
      </c>
    </row>
    <row r="25" spans="2:8" ht="13.5" thickTop="1" x14ac:dyDescent="0.2"/>
    <row r="27" spans="2:8" x14ac:dyDescent="0.2">
      <c r="B27" s="66" t="s">
        <v>200</v>
      </c>
    </row>
    <row r="28" spans="2:8" x14ac:dyDescent="0.2">
      <c r="B28" s="111" t="s">
        <v>190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25.57031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245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63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6.0000000000000001E-3</v>
      </c>
      <c r="D7" s="116">
        <v>8.0000000000000002E-3</v>
      </c>
      <c r="F7" s="8" t="s">
        <v>12</v>
      </c>
      <c r="G7" s="13">
        <f>10+1</f>
        <v>11</v>
      </c>
      <c r="H7" s="14">
        <f t="shared" ref="H7:H18" si="0">G7/$G$20</f>
        <v>6.4252336448598129E-3</v>
      </c>
      <c r="I7" s="13">
        <v>9</v>
      </c>
      <c r="J7" s="15">
        <f t="shared" ref="J7:J18" si="1">I7/$I$20</f>
        <v>7.7787381158167671E-3</v>
      </c>
      <c r="L7" s="11">
        <f t="shared" ref="L7:L18" si="2">+G7+I7</f>
        <v>20</v>
      </c>
      <c r="M7" s="56">
        <f t="shared" ref="M7:M18" si="3">+L7/($G$20+$I$20)</f>
        <v>6.9710700592540958E-3</v>
      </c>
    </row>
    <row r="8" spans="2:26" x14ac:dyDescent="0.2">
      <c r="B8" s="117" t="s">
        <v>27</v>
      </c>
      <c r="C8" s="118">
        <v>5.0000000000000001E-3</v>
      </c>
      <c r="D8" s="119">
        <v>7.0000000000000001E-3</v>
      </c>
      <c r="F8" s="6" t="s">
        <v>1</v>
      </c>
      <c r="G8" s="9">
        <f>9</f>
        <v>9</v>
      </c>
      <c r="H8" s="16">
        <f t="shared" si="0"/>
        <v>5.2570093457943922E-3</v>
      </c>
      <c r="I8" s="9">
        <v>8</v>
      </c>
      <c r="J8" s="17">
        <f t="shared" si="1"/>
        <v>6.9144338807260158E-3</v>
      </c>
      <c r="L8" s="11">
        <f t="shared" si="2"/>
        <v>17</v>
      </c>
      <c r="M8" s="56">
        <f t="shared" si="3"/>
        <v>5.9254095503659815E-3</v>
      </c>
    </row>
    <row r="9" spans="2:26" x14ac:dyDescent="0.2">
      <c r="B9" s="117" t="s">
        <v>28</v>
      </c>
      <c r="C9" s="120">
        <v>8.9999999999999993E-3</v>
      </c>
      <c r="D9" s="119">
        <v>8.0000000000000002E-3</v>
      </c>
      <c r="F9" s="6" t="s">
        <v>2</v>
      </c>
      <c r="G9" s="9">
        <f>13+2</f>
        <v>15</v>
      </c>
      <c r="H9" s="16">
        <f t="shared" si="0"/>
        <v>8.7616822429906534E-3</v>
      </c>
      <c r="I9" s="9">
        <v>9</v>
      </c>
      <c r="J9" s="17">
        <f t="shared" si="1"/>
        <v>7.7787381158167671E-3</v>
      </c>
      <c r="L9" s="11">
        <f t="shared" si="2"/>
        <v>24</v>
      </c>
      <c r="M9" s="56">
        <f t="shared" si="3"/>
        <v>8.3652840711049142E-3</v>
      </c>
    </row>
    <row r="10" spans="2:26" x14ac:dyDescent="0.2">
      <c r="B10" s="117" t="s">
        <v>29</v>
      </c>
      <c r="C10" s="120">
        <v>7.0000000000000001E-3</v>
      </c>
      <c r="D10" s="119">
        <v>4.0000000000000001E-3</v>
      </c>
      <c r="F10" s="6" t="s">
        <v>3</v>
      </c>
      <c r="G10" s="9">
        <f>10+2</f>
        <v>12</v>
      </c>
      <c r="H10" s="16">
        <f t="shared" si="0"/>
        <v>7.0093457943925233E-3</v>
      </c>
      <c r="I10" s="9">
        <v>4</v>
      </c>
      <c r="J10" s="17">
        <f t="shared" si="1"/>
        <v>3.4572169403630079E-3</v>
      </c>
      <c r="L10" s="11">
        <f t="shared" si="2"/>
        <v>16</v>
      </c>
      <c r="M10" s="56">
        <f t="shared" si="3"/>
        <v>5.5768560474032764E-3</v>
      </c>
    </row>
    <row r="11" spans="2:26" x14ac:dyDescent="0.2">
      <c r="B11" s="117" t="s">
        <v>30</v>
      </c>
      <c r="C11" s="120">
        <v>2.1999999999999999E-2</v>
      </c>
      <c r="D11" s="119">
        <v>1.7000000000000001E-2</v>
      </c>
      <c r="F11" s="6" t="s">
        <v>4</v>
      </c>
      <c r="G11" s="9">
        <f>21+16</f>
        <v>37</v>
      </c>
      <c r="H11" s="16">
        <f t="shared" si="0"/>
        <v>2.1612149532710279E-2</v>
      </c>
      <c r="I11" s="9">
        <v>20</v>
      </c>
      <c r="J11" s="17">
        <f t="shared" si="1"/>
        <v>1.728608470181504E-2</v>
      </c>
      <c r="L11" s="11">
        <f t="shared" si="2"/>
        <v>57</v>
      </c>
      <c r="M11" s="56">
        <f t="shared" si="3"/>
        <v>1.9867549668874173E-2</v>
      </c>
    </row>
    <row r="12" spans="2:26" x14ac:dyDescent="0.2">
      <c r="B12" s="117" t="s">
        <v>37</v>
      </c>
      <c r="C12" s="120">
        <v>0.11</v>
      </c>
      <c r="D12" s="119">
        <v>0.02</v>
      </c>
      <c r="F12" s="6" t="s">
        <v>5</v>
      </c>
      <c r="G12" s="9">
        <f>135+54</f>
        <v>189</v>
      </c>
      <c r="H12" s="16">
        <f t="shared" si="0"/>
        <v>0.11039719626168225</v>
      </c>
      <c r="I12" s="9">
        <v>23</v>
      </c>
      <c r="J12" s="17">
        <f t="shared" si="1"/>
        <v>1.9878997407087293E-2</v>
      </c>
      <c r="L12" s="11">
        <f t="shared" si="2"/>
        <v>212</v>
      </c>
      <c r="M12" s="56">
        <f t="shared" si="3"/>
        <v>7.3893342628093411E-2</v>
      </c>
    </row>
    <row r="13" spans="2:26" x14ac:dyDescent="0.2">
      <c r="B13" s="117" t="s">
        <v>31</v>
      </c>
      <c r="C13" s="120">
        <v>8.4000000000000005E-2</v>
      </c>
      <c r="D13" s="119">
        <v>6.4000000000000001E-2</v>
      </c>
      <c r="F13" s="6" t="s">
        <v>6</v>
      </c>
      <c r="G13" s="9">
        <f>115+28</f>
        <v>143</v>
      </c>
      <c r="H13" s="16">
        <f t="shared" si="0"/>
        <v>8.3528037383177572E-2</v>
      </c>
      <c r="I13" s="9">
        <v>74</v>
      </c>
      <c r="J13" s="17">
        <f t="shared" si="1"/>
        <v>6.3958513396715641E-2</v>
      </c>
      <c r="L13" s="11">
        <f t="shared" si="2"/>
        <v>217</v>
      </c>
      <c r="M13" s="56">
        <f t="shared" si="3"/>
        <v>7.5636110142906943E-2</v>
      </c>
    </row>
    <row r="14" spans="2:26" x14ac:dyDescent="0.2">
      <c r="B14" s="117" t="s">
        <v>32</v>
      </c>
      <c r="C14" s="120">
        <v>6.5000000000000002E-2</v>
      </c>
      <c r="D14" s="119">
        <v>0.05</v>
      </c>
      <c r="F14" s="6" t="s">
        <v>7</v>
      </c>
      <c r="G14" s="9">
        <f>93+18</f>
        <v>111</v>
      </c>
      <c r="H14" s="16">
        <f t="shared" si="0"/>
        <v>6.4836448598130841E-2</v>
      </c>
      <c r="I14" s="9">
        <v>58</v>
      </c>
      <c r="J14" s="17">
        <f t="shared" si="1"/>
        <v>5.0129645635263613E-2</v>
      </c>
      <c r="L14" s="11">
        <f t="shared" si="2"/>
        <v>169</v>
      </c>
      <c r="M14" s="56">
        <f t="shared" si="3"/>
        <v>5.8905542000697107E-2</v>
      </c>
    </row>
    <row r="15" spans="2:26" x14ac:dyDescent="0.2">
      <c r="B15" s="117" t="s">
        <v>33</v>
      </c>
      <c r="C15" s="120">
        <v>4.5999999999999999E-2</v>
      </c>
      <c r="D15" s="119">
        <v>4.5999999999999999E-2</v>
      </c>
      <c r="F15" s="6" t="s">
        <v>8</v>
      </c>
      <c r="G15" s="9">
        <f>60+18</f>
        <v>78</v>
      </c>
      <c r="H15" s="16">
        <f t="shared" si="0"/>
        <v>4.55607476635514E-2</v>
      </c>
      <c r="I15" s="9">
        <v>53</v>
      </c>
      <c r="J15" s="17">
        <f t="shared" si="1"/>
        <v>4.5808124459809856E-2</v>
      </c>
      <c r="L15" s="11">
        <f t="shared" si="2"/>
        <v>131</v>
      </c>
      <c r="M15" s="56">
        <f t="shared" si="3"/>
        <v>4.5660508888114328E-2</v>
      </c>
    </row>
    <row r="16" spans="2:26" x14ac:dyDescent="0.2">
      <c r="B16" s="117" t="s">
        <v>34</v>
      </c>
      <c r="C16" s="120">
        <v>4.2000000000000003E-2</v>
      </c>
      <c r="D16" s="119">
        <v>1.2999999999999999E-2</v>
      </c>
      <c r="F16" s="6" t="s">
        <v>9</v>
      </c>
      <c r="G16" s="9">
        <f>58+13</f>
        <v>71</v>
      </c>
      <c r="H16" s="16">
        <f t="shared" si="0"/>
        <v>4.1471962616822428E-2</v>
      </c>
      <c r="I16" s="9">
        <v>15</v>
      </c>
      <c r="J16" s="17">
        <f t="shared" si="1"/>
        <v>1.2964563526361279E-2</v>
      </c>
      <c r="L16" s="11">
        <f t="shared" si="2"/>
        <v>86</v>
      </c>
      <c r="M16" s="56">
        <f t="shared" si="3"/>
        <v>2.9975601254792612E-2</v>
      </c>
    </row>
    <row r="17" spans="2:13" x14ac:dyDescent="0.2">
      <c r="B17" s="117" t="s">
        <v>35</v>
      </c>
      <c r="C17" s="120">
        <v>0.06</v>
      </c>
      <c r="D17" s="119">
        <v>7.4999999999999997E-2</v>
      </c>
      <c r="F17" s="6" t="s">
        <v>10</v>
      </c>
      <c r="G17" s="9">
        <f>83+20</f>
        <v>103</v>
      </c>
      <c r="H17" s="16">
        <f t="shared" si="0"/>
        <v>6.0163551401869159E-2</v>
      </c>
      <c r="I17" s="9">
        <v>87</v>
      </c>
      <c r="J17" s="17">
        <f t="shared" si="1"/>
        <v>7.5194468452895416E-2</v>
      </c>
      <c r="L17" s="11">
        <f t="shared" si="2"/>
        <v>190</v>
      </c>
      <c r="M17" s="56">
        <f t="shared" si="3"/>
        <v>6.6225165562913912E-2</v>
      </c>
    </row>
    <row r="18" spans="2:13" ht="13.5" thickBot="1" x14ac:dyDescent="0.25">
      <c r="B18" s="121" t="s">
        <v>36</v>
      </c>
      <c r="C18" s="122">
        <v>7.9000000000000001E-2</v>
      </c>
      <c r="D18" s="123">
        <v>0.06</v>
      </c>
      <c r="F18" s="7" t="s">
        <v>11</v>
      </c>
      <c r="G18" s="18">
        <f>112+24</f>
        <v>136</v>
      </c>
      <c r="H18" s="19">
        <f t="shared" si="0"/>
        <v>7.9439252336448593E-2</v>
      </c>
      <c r="I18" s="18">
        <v>69</v>
      </c>
      <c r="J18" s="20">
        <f t="shared" si="1"/>
        <v>5.9636992221261884E-2</v>
      </c>
      <c r="L18" s="11">
        <f t="shared" si="2"/>
        <v>205</v>
      </c>
      <c r="M18" s="56">
        <f t="shared" si="3"/>
        <v>7.1453468107354479E-2</v>
      </c>
    </row>
    <row r="19" spans="2:13" ht="14.25" thickTop="1" thickBot="1" x14ac:dyDescent="0.25">
      <c r="B19" s="124"/>
      <c r="C19" s="125">
        <f>SUM(C7:C18)</f>
        <v>0.53499999999999992</v>
      </c>
      <c r="D19" s="126">
        <f>SUM(D7:D18)</f>
        <v>0.372</v>
      </c>
      <c r="F19" s="1" t="s">
        <v>62</v>
      </c>
      <c r="H19" s="21">
        <f>SUM(H7:H18)</f>
        <v>0.53446261682242979</v>
      </c>
      <c r="J19" s="21">
        <f>SUM(J7:J18)</f>
        <v>0.3707865168539326</v>
      </c>
    </row>
    <row r="20" spans="2:13" ht="13.5" thickTop="1" x14ac:dyDescent="0.2">
      <c r="F20" s="1" t="s">
        <v>21</v>
      </c>
      <c r="G20" s="11">
        <f>1357+355</f>
        <v>1712</v>
      </c>
      <c r="H20" s="21"/>
      <c r="I20" s="11">
        <f>1157</f>
        <v>1157</v>
      </c>
      <c r="J20" s="21"/>
    </row>
    <row r="21" spans="2:13" x14ac:dyDescent="0.2">
      <c r="F21" s="1" t="s">
        <v>64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11</v>
      </c>
      <c r="H62" s="14">
        <f t="shared" ref="H62:H73" si="9">AVERAGE(H7)</f>
        <v>6.4252336448598129E-3</v>
      </c>
      <c r="I62" s="13">
        <f t="shared" ref="I62:I73" si="10">+I7+I25+I43</f>
        <v>9</v>
      </c>
      <c r="J62" s="15">
        <f t="shared" ref="J62:J73" si="11">+AVERAGE(J7)</f>
        <v>7.7787381158167671E-3</v>
      </c>
    </row>
    <row r="63" spans="6:10" x14ac:dyDescent="0.2">
      <c r="F63" s="6" t="s">
        <v>27</v>
      </c>
      <c r="G63" s="9">
        <f t="shared" si="8"/>
        <v>9</v>
      </c>
      <c r="H63" s="22">
        <f t="shared" si="9"/>
        <v>5.2570093457943922E-3</v>
      </c>
      <c r="I63" s="9">
        <f t="shared" si="10"/>
        <v>8</v>
      </c>
      <c r="J63" s="17">
        <f t="shared" si="11"/>
        <v>6.9144338807260158E-3</v>
      </c>
    </row>
    <row r="64" spans="6:10" x14ac:dyDescent="0.2">
      <c r="F64" s="6" t="s">
        <v>28</v>
      </c>
      <c r="G64" s="9">
        <f t="shared" si="8"/>
        <v>15</v>
      </c>
      <c r="H64" s="22">
        <f t="shared" si="9"/>
        <v>8.7616822429906534E-3</v>
      </c>
      <c r="I64" s="9">
        <f t="shared" si="10"/>
        <v>9</v>
      </c>
      <c r="J64" s="17">
        <f t="shared" si="11"/>
        <v>7.7787381158167671E-3</v>
      </c>
    </row>
    <row r="65" spans="6:10" x14ac:dyDescent="0.2">
      <c r="F65" s="6" t="s">
        <v>29</v>
      </c>
      <c r="G65" s="9">
        <f t="shared" si="8"/>
        <v>12</v>
      </c>
      <c r="H65" s="22">
        <f t="shared" si="9"/>
        <v>7.0093457943925233E-3</v>
      </c>
      <c r="I65" s="9">
        <f t="shared" si="10"/>
        <v>4</v>
      </c>
      <c r="J65" s="17">
        <f t="shared" si="11"/>
        <v>3.4572169403630079E-3</v>
      </c>
    </row>
    <row r="66" spans="6:10" x14ac:dyDescent="0.2">
      <c r="F66" s="6" t="s">
        <v>30</v>
      </c>
      <c r="G66" s="9">
        <f t="shared" si="8"/>
        <v>37</v>
      </c>
      <c r="H66" s="22">
        <f t="shared" si="9"/>
        <v>2.1612149532710279E-2</v>
      </c>
      <c r="I66" s="9">
        <f t="shared" si="10"/>
        <v>20</v>
      </c>
      <c r="J66" s="17">
        <f t="shared" si="11"/>
        <v>1.728608470181504E-2</v>
      </c>
    </row>
    <row r="67" spans="6:10" x14ac:dyDescent="0.2">
      <c r="F67" s="6" t="s">
        <v>37</v>
      </c>
      <c r="G67" s="9">
        <f t="shared" si="8"/>
        <v>189</v>
      </c>
      <c r="H67" s="22">
        <f t="shared" si="9"/>
        <v>0.11039719626168225</v>
      </c>
      <c r="I67" s="9">
        <f t="shared" si="10"/>
        <v>23</v>
      </c>
      <c r="J67" s="17">
        <f t="shared" si="11"/>
        <v>1.9878997407087293E-2</v>
      </c>
    </row>
    <row r="68" spans="6:10" x14ac:dyDescent="0.2">
      <c r="F68" s="6" t="s">
        <v>31</v>
      </c>
      <c r="G68" s="9">
        <f t="shared" si="8"/>
        <v>143</v>
      </c>
      <c r="H68" s="22">
        <f t="shared" si="9"/>
        <v>8.3528037383177572E-2</v>
      </c>
      <c r="I68" s="9">
        <f t="shared" si="10"/>
        <v>74</v>
      </c>
      <c r="J68" s="17">
        <f t="shared" si="11"/>
        <v>6.3958513396715641E-2</v>
      </c>
    </row>
    <row r="69" spans="6:10" x14ac:dyDescent="0.2">
      <c r="F69" s="6" t="s">
        <v>32</v>
      </c>
      <c r="G69" s="9">
        <f t="shared" si="8"/>
        <v>111</v>
      </c>
      <c r="H69" s="22">
        <f t="shared" si="9"/>
        <v>6.4836448598130841E-2</v>
      </c>
      <c r="I69" s="9">
        <f t="shared" si="10"/>
        <v>58</v>
      </c>
      <c r="J69" s="17">
        <f t="shared" si="11"/>
        <v>5.0129645635263613E-2</v>
      </c>
    </row>
    <row r="70" spans="6:10" x14ac:dyDescent="0.2">
      <c r="F70" s="6" t="s">
        <v>33</v>
      </c>
      <c r="G70" s="9">
        <f t="shared" si="8"/>
        <v>78</v>
      </c>
      <c r="H70" s="22">
        <f t="shared" si="9"/>
        <v>4.55607476635514E-2</v>
      </c>
      <c r="I70" s="9">
        <f t="shared" si="10"/>
        <v>53</v>
      </c>
      <c r="J70" s="17">
        <f t="shared" si="11"/>
        <v>4.5808124459809856E-2</v>
      </c>
    </row>
    <row r="71" spans="6:10" x14ac:dyDescent="0.2">
      <c r="F71" s="6" t="s">
        <v>34</v>
      </c>
      <c r="G71" s="9">
        <f t="shared" si="8"/>
        <v>71</v>
      </c>
      <c r="H71" s="22">
        <f t="shared" si="9"/>
        <v>4.1471962616822428E-2</v>
      </c>
      <c r="I71" s="9">
        <f t="shared" si="10"/>
        <v>15</v>
      </c>
      <c r="J71" s="17">
        <f t="shared" si="11"/>
        <v>1.2964563526361279E-2</v>
      </c>
    </row>
    <row r="72" spans="6:10" x14ac:dyDescent="0.2">
      <c r="F72" s="6" t="s">
        <v>35</v>
      </c>
      <c r="G72" s="9">
        <f t="shared" si="8"/>
        <v>103</v>
      </c>
      <c r="H72" s="22">
        <f t="shared" si="9"/>
        <v>6.0163551401869159E-2</v>
      </c>
      <c r="I72" s="9">
        <f t="shared" si="10"/>
        <v>87</v>
      </c>
      <c r="J72" s="17">
        <f t="shared" si="11"/>
        <v>7.5194468452895416E-2</v>
      </c>
    </row>
    <row r="73" spans="6:10" ht="13.5" thickBot="1" x14ac:dyDescent="0.25">
      <c r="F73" s="7" t="s">
        <v>36</v>
      </c>
      <c r="G73" s="18">
        <f t="shared" si="8"/>
        <v>136</v>
      </c>
      <c r="H73" s="19">
        <f t="shared" si="9"/>
        <v>7.9439252336448593E-2</v>
      </c>
      <c r="I73" s="18">
        <f t="shared" si="10"/>
        <v>69</v>
      </c>
      <c r="J73" s="20">
        <f t="shared" si="11"/>
        <v>5.9636992221261884E-2</v>
      </c>
    </row>
    <row r="74" spans="6:10" ht="13.5" thickTop="1" x14ac:dyDescent="0.2">
      <c r="F74" s="12" t="s">
        <v>25</v>
      </c>
      <c r="H74" s="21">
        <f>SUM(H62:H73)</f>
        <v>0.53446261682242979</v>
      </c>
      <c r="J74" s="21">
        <f>SUM(J62:J73)</f>
        <v>0.3707865168539326</v>
      </c>
    </row>
    <row r="75" spans="6:10" x14ac:dyDescent="0.2">
      <c r="F75" s="1" t="s">
        <v>21</v>
      </c>
      <c r="G75" s="11">
        <f>+G20+G38+G56</f>
        <v>1712</v>
      </c>
      <c r="H75" s="21"/>
      <c r="I75" s="11">
        <f>+I20+I38+I56</f>
        <v>1157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6269-6378-4D43-8A6F-8033793F0110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247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3.5200000000000002E-2</v>
      </c>
      <c r="D7" s="163">
        <v>4.24E-2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5.7200000000000001E-2</v>
      </c>
      <c r="D8" s="166">
        <v>3.5099999999999999E-2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8.8700000000000001E-2</v>
      </c>
      <c r="D9" s="166">
        <v>4.7500000000000001E-2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6.8900000000000003E-2</v>
      </c>
      <c r="D10" s="166">
        <v>6.2899999999999998E-2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6.1600000000000002E-2</v>
      </c>
      <c r="D11" s="166">
        <v>5.1900000000000002E-2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3.9600000000000003E-2</v>
      </c>
      <c r="D12" s="166">
        <v>6.430000000000001E-2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4.9100000000000005E-2</v>
      </c>
      <c r="D13" s="166">
        <v>6.9400000000000003E-2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2.2000000000000002E-2</v>
      </c>
      <c r="D14" s="166">
        <v>2.8500000000000001E-2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3.15E-2</v>
      </c>
      <c r="D15" s="166">
        <v>3.0000000000000002E-2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5.28E-2</v>
      </c>
      <c r="D16" s="166">
        <v>6.3600000000000004E-2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8.5000000000000006E-2</v>
      </c>
      <c r="D17" s="166">
        <v>5.9900000000000002E-2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0.15030000000000002</v>
      </c>
      <c r="D18" s="166">
        <v>9.6500000000000002E-2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8.3600000000000008E-2</v>
      </c>
      <c r="D19" s="166">
        <v>8.5500000000000007E-2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7.6200000000000004E-2</v>
      </c>
      <c r="D20" s="166">
        <v>0.1221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3.15E-2</v>
      </c>
      <c r="D21" s="166">
        <v>7.5999999999999998E-2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1.6900000000000002E-2</v>
      </c>
      <c r="D22" s="166">
        <v>4.3099999999999999E-2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4.99E-2</v>
      </c>
      <c r="D23" s="168">
        <v>2.12E-2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</v>
      </c>
      <c r="D24" s="161">
        <f t="shared" ref="D24" si="0">SUM(D7:D23)</f>
        <v>0.99990000000000012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209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8.7109375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145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0.03</v>
      </c>
      <c r="D7" s="116">
        <v>0.04</v>
      </c>
      <c r="F7" s="8" t="s">
        <v>12</v>
      </c>
      <c r="G7" s="13">
        <f>16+29+2</f>
        <v>47</v>
      </c>
      <c r="H7" s="14">
        <f t="shared" ref="H7:H18" si="0">G7/$G$20</f>
        <v>2.7810650887573965E-2</v>
      </c>
      <c r="I7" s="13">
        <v>39</v>
      </c>
      <c r="J7" s="15">
        <f t="shared" ref="J7:J18" si="1">I7/$I$20</f>
        <v>0.03</v>
      </c>
      <c r="L7" s="11">
        <f t="shared" ref="L7:L18" si="2">+G7+I7</f>
        <v>86</v>
      </c>
      <c r="M7" s="56">
        <f t="shared" ref="M7:M18" si="3">+L7/($G$20+$I$20)</f>
        <v>2.8762541806020066E-2</v>
      </c>
    </row>
    <row r="8" spans="2:26" x14ac:dyDescent="0.2">
      <c r="B8" s="117" t="s">
        <v>27</v>
      </c>
      <c r="C8" s="118">
        <v>4.7E-2</v>
      </c>
      <c r="D8" s="119">
        <v>7.3999999999999996E-2</v>
      </c>
      <c r="F8" s="6" t="s">
        <v>1</v>
      </c>
      <c r="G8" s="9">
        <f>32+44+1</f>
        <v>77</v>
      </c>
      <c r="H8" s="16">
        <f t="shared" si="0"/>
        <v>4.5562130177514794E-2</v>
      </c>
      <c r="I8" s="9">
        <v>82</v>
      </c>
      <c r="J8" s="17">
        <f t="shared" si="1"/>
        <v>6.3076923076923072E-2</v>
      </c>
      <c r="L8" s="11">
        <f t="shared" si="2"/>
        <v>159</v>
      </c>
      <c r="M8" s="56">
        <f t="shared" si="3"/>
        <v>5.3177257525083614E-2</v>
      </c>
    </row>
    <row r="9" spans="2:26" x14ac:dyDescent="0.2">
      <c r="B9" s="117" t="s">
        <v>28</v>
      </c>
      <c r="C9" s="120">
        <v>7.9000000000000001E-2</v>
      </c>
      <c r="D9" s="119">
        <v>0.06</v>
      </c>
      <c r="F9" s="6" t="s">
        <v>2</v>
      </c>
      <c r="G9" s="9">
        <f>51+93+0</f>
        <v>144</v>
      </c>
      <c r="H9" s="16">
        <f t="shared" si="0"/>
        <v>8.5207100591715976E-2</v>
      </c>
      <c r="I9" s="9">
        <v>40</v>
      </c>
      <c r="J9" s="17">
        <f t="shared" si="1"/>
        <v>3.0769230769230771E-2</v>
      </c>
      <c r="L9" s="11">
        <f t="shared" si="2"/>
        <v>184</v>
      </c>
      <c r="M9" s="56">
        <f t="shared" si="3"/>
        <v>6.1538461538461542E-2</v>
      </c>
    </row>
    <row r="10" spans="2:26" x14ac:dyDescent="0.2">
      <c r="B10" s="117" t="s">
        <v>29</v>
      </c>
      <c r="C10" s="120">
        <v>6.7000000000000004E-2</v>
      </c>
      <c r="D10" s="119">
        <v>5.6000000000000001E-2</v>
      </c>
      <c r="F10" s="6" t="s">
        <v>3</v>
      </c>
      <c r="G10" s="9">
        <f>47+71+1</f>
        <v>119</v>
      </c>
      <c r="H10" s="16">
        <f t="shared" si="0"/>
        <v>7.0414201183431946E-2</v>
      </c>
      <c r="I10" s="9">
        <v>77</v>
      </c>
      <c r="J10" s="17">
        <f t="shared" si="1"/>
        <v>5.9230769230769233E-2</v>
      </c>
      <c r="L10" s="11">
        <f t="shared" si="2"/>
        <v>196</v>
      </c>
      <c r="M10" s="56">
        <f t="shared" si="3"/>
        <v>6.5551839464882938E-2</v>
      </c>
    </row>
    <row r="11" spans="2:26" x14ac:dyDescent="0.2">
      <c r="B11" s="117" t="s">
        <v>30</v>
      </c>
      <c r="C11" s="120">
        <v>6.2E-2</v>
      </c>
      <c r="D11" s="119">
        <v>7.9000000000000001E-2</v>
      </c>
      <c r="F11" s="6" t="s">
        <v>4</v>
      </c>
      <c r="G11" s="9">
        <f>41+71+2</f>
        <v>114</v>
      </c>
      <c r="H11" s="16">
        <f t="shared" si="0"/>
        <v>6.7455621301775154E-2</v>
      </c>
      <c r="I11" s="9">
        <v>108</v>
      </c>
      <c r="J11" s="17">
        <f t="shared" si="1"/>
        <v>8.3076923076923076E-2</v>
      </c>
      <c r="L11" s="11">
        <f t="shared" si="2"/>
        <v>222</v>
      </c>
      <c r="M11" s="56">
        <f t="shared" si="3"/>
        <v>7.4247491638795987E-2</v>
      </c>
    </row>
    <row r="12" spans="2:26" x14ac:dyDescent="0.2">
      <c r="B12" s="117" t="s">
        <v>37</v>
      </c>
      <c r="C12" s="120">
        <v>5.3999999999999999E-2</v>
      </c>
      <c r="D12" s="119">
        <v>8.6999999999999994E-2</v>
      </c>
      <c r="F12" s="6" t="s">
        <v>5</v>
      </c>
      <c r="G12" s="9">
        <f>24+73+5</f>
        <v>102</v>
      </c>
      <c r="H12" s="16">
        <f t="shared" si="0"/>
        <v>6.0355029585798817E-2</v>
      </c>
      <c r="I12" s="9">
        <v>133</v>
      </c>
      <c r="J12" s="17">
        <f t="shared" si="1"/>
        <v>0.10230769230769231</v>
      </c>
      <c r="L12" s="11">
        <f t="shared" si="2"/>
        <v>235</v>
      </c>
      <c r="M12" s="56">
        <f t="shared" si="3"/>
        <v>7.8595317725752512E-2</v>
      </c>
    </row>
    <row r="13" spans="2:26" x14ac:dyDescent="0.2">
      <c r="B13" s="117" t="s">
        <v>31</v>
      </c>
      <c r="C13" s="120">
        <v>5.3999999999999999E-2</v>
      </c>
      <c r="D13" s="119">
        <v>6.7000000000000004E-2</v>
      </c>
      <c r="F13" s="6" t="s">
        <v>6</v>
      </c>
      <c r="G13" s="9">
        <f>29+50+4</f>
        <v>83</v>
      </c>
      <c r="H13" s="16">
        <f t="shared" si="0"/>
        <v>4.9112426035502955E-2</v>
      </c>
      <c r="I13" s="9">
        <v>82</v>
      </c>
      <c r="J13" s="17">
        <f t="shared" si="1"/>
        <v>6.3076923076923072E-2</v>
      </c>
      <c r="L13" s="11">
        <f t="shared" si="2"/>
        <v>165</v>
      </c>
      <c r="M13" s="56">
        <f t="shared" si="3"/>
        <v>5.5183946488294312E-2</v>
      </c>
    </row>
    <row r="14" spans="2:26" x14ac:dyDescent="0.2">
      <c r="B14" s="117" t="s">
        <v>32</v>
      </c>
      <c r="C14" s="120">
        <v>4.5999999999999999E-2</v>
      </c>
      <c r="D14" s="119">
        <v>5.5E-2</v>
      </c>
      <c r="F14" s="6" t="s">
        <v>7</v>
      </c>
      <c r="G14" s="9">
        <f>18+51+1</f>
        <v>70</v>
      </c>
      <c r="H14" s="16">
        <f t="shared" si="0"/>
        <v>4.142011834319527E-2</v>
      </c>
      <c r="I14" s="9">
        <v>70</v>
      </c>
      <c r="J14" s="17">
        <f t="shared" si="1"/>
        <v>5.3846153846153849E-2</v>
      </c>
      <c r="L14" s="11">
        <f t="shared" si="2"/>
        <v>140</v>
      </c>
      <c r="M14" s="56">
        <f t="shared" si="3"/>
        <v>4.6822742474916385E-2</v>
      </c>
    </row>
    <row r="15" spans="2:26" x14ac:dyDescent="0.2">
      <c r="B15" s="117" t="s">
        <v>33</v>
      </c>
      <c r="C15" s="120">
        <v>5.6000000000000001E-2</v>
      </c>
      <c r="D15" s="119">
        <v>5.5E-2</v>
      </c>
      <c r="F15" s="6" t="s">
        <v>8</v>
      </c>
      <c r="G15" s="9">
        <f>17+37+2</f>
        <v>56</v>
      </c>
      <c r="H15" s="16">
        <f t="shared" si="0"/>
        <v>3.3136094674556214E-2</v>
      </c>
      <c r="I15" s="9">
        <v>72</v>
      </c>
      <c r="J15" s="17">
        <f t="shared" si="1"/>
        <v>5.5384615384615386E-2</v>
      </c>
      <c r="L15" s="11">
        <f t="shared" si="2"/>
        <v>128</v>
      </c>
      <c r="M15" s="56">
        <f t="shared" si="3"/>
        <v>4.2809364548494981E-2</v>
      </c>
    </row>
    <row r="16" spans="2:26" x14ac:dyDescent="0.2">
      <c r="B16" s="117" t="s">
        <v>34</v>
      </c>
      <c r="C16" s="120">
        <v>8.8999999999999996E-2</v>
      </c>
      <c r="D16" s="119">
        <v>6.4000000000000001E-2</v>
      </c>
      <c r="F16" s="6" t="s">
        <v>9</v>
      </c>
      <c r="G16" s="9">
        <f>39+94+0</f>
        <v>133</v>
      </c>
      <c r="H16" s="16">
        <f t="shared" si="0"/>
        <v>7.8698224852071008E-2</v>
      </c>
      <c r="I16" s="9">
        <v>79</v>
      </c>
      <c r="J16" s="17">
        <f t="shared" si="1"/>
        <v>6.076923076923077E-2</v>
      </c>
      <c r="L16" s="11">
        <f t="shared" si="2"/>
        <v>212</v>
      </c>
      <c r="M16" s="56">
        <f t="shared" si="3"/>
        <v>7.0903010033444819E-2</v>
      </c>
    </row>
    <row r="17" spans="2:13" x14ac:dyDescent="0.2">
      <c r="B17" s="117" t="s">
        <v>35</v>
      </c>
      <c r="C17" s="120">
        <v>9.9000000000000005E-2</v>
      </c>
      <c r="D17" s="119">
        <v>8.4000000000000005E-2</v>
      </c>
      <c r="F17" s="6" t="s">
        <v>10</v>
      </c>
      <c r="G17" s="9">
        <f>47+100+5</f>
        <v>152</v>
      </c>
      <c r="H17" s="16">
        <f t="shared" si="0"/>
        <v>8.9940828402366862E-2</v>
      </c>
      <c r="I17" s="9">
        <v>89</v>
      </c>
      <c r="J17" s="17">
        <f t="shared" si="1"/>
        <v>6.8461538461538463E-2</v>
      </c>
      <c r="L17" s="11">
        <f t="shared" si="2"/>
        <v>241</v>
      </c>
      <c r="M17" s="56">
        <f t="shared" si="3"/>
        <v>8.060200668896321E-2</v>
      </c>
    </row>
    <row r="18" spans="2:13" ht="13.5" thickBot="1" x14ac:dyDescent="0.25">
      <c r="B18" s="121" t="s">
        <v>36</v>
      </c>
      <c r="C18" s="122">
        <v>0.14399999999999999</v>
      </c>
      <c r="D18" s="123">
        <v>0.113</v>
      </c>
      <c r="F18" s="7" t="s">
        <v>11</v>
      </c>
      <c r="G18" s="18">
        <f>65+145+4</f>
        <v>214</v>
      </c>
      <c r="H18" s="19">
        <f t="shared" si="0"/>
        <v>0.12662721893491125</v>
      </c>
      <c r="I18" s="18">
        <v>143</v>
      </c>
      <c r="J18" s="20">
        <f t="shared" si="1"/>
        <v>0.11</v>
      </c>
      <c r="L18" s="11">
        <f t="shared" si="2"/>
        <v>357</v>
      </c>
      <c r="M18" s="56">
        <f t="shared" si="3"/>
        <v>0.11939799331103679</v>
      </c>
    </row>
    <row r="19" spans="2:13" ht="14.25" thickTop="1" thickBot="1" x14ac:dyDescent="0.25">
      <c r="B19" s="124"/>
      <c r="C19" s="125">
        <f>SUM(C7:C18)</f>
        <v>0.82699999999999996</v>
      </c>
      <c r="D19" s="126">
        <f>SUM(D7:D18)</f>
        <v>0.83399999999999996</v>
      </c>
      <c r="F19" s="1" t="s">
        <v>105</v>
      </c>
      <c r="H19" s="21">
        <f>SUM(H7:H18)</f>
        <v>0.77573964497041425</v>
      </c>
      <c r="J19" s="21">
        <f>SUM(J7:J18)</f>
        <v>0.78</v>
      </c>
    </row>
    <row r="20" spans="2:13" ht="13.5" thickTop="1" x14ac:dyDescent="0.2">
      <c r="F20" s="1" t="s">
        <v>21</v>
      </c>
      <c r="G20" s="11">
        <f>550+1110+30</f>
        <v>1690</v>
      </c>
      <c r="H20" s="21"/>
      <c r="I20" s="11">
        <f>1300</f>
        <v>1300</v>
      </c>
      <c r="J20" s="21"/>
    </row>
    <row r="21" spans="2:13" x14ac:dyDescent="0.2">
      <c r="F21" s="1" t="s">
        <v>106</v>
      </c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146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0+7+29</f>
        <v>36</v>
      </c>
      <c r="H25" s="14">
        <f>G25/G38</f>
        <v>3.1331592689295036E-2</v>
      </c>
      <c r="I25" s="13">
        <f>9+2+38</f>
        <v>49</v>
      </c>
      <c r="J25" s="15">
        <f>I25/I38</f>
        <v>4.9098196392785572E-2</v>
      </c>
    </row>
    <row r="26" spans="2:13" x14ac:dyDescent="0.2">
      <c r="F26" s="6" t="s">
        <v>1</v>
      </c>
      <c r="G26" s="9">
        <f>5+13+38</f>
        <v>56</v>
      </c>
      <c r="H26" s="16">
        <f t="shared" ref="H26:H36" si="4">G26/$G$38</f>
        <v>4.8738033072236731E-2</v>
      </c>
      <c r="I26" s="9">
        <f>10+1+74</f>
        <v>85</v>
      </c>
      <c r="J26" s="17">
        <f t="shared" ref="J26:J36" si="5">I26/$I$38</f>
        <v>8.5170340681362727E-2</v>
      </c>
    </row>
    <row r="27" spans="2:13" x14ac:dyDescent="0.2">
      <c r="F27" s="6" t="s">
        <v>2</v>
      </c>
      <c r="G27" s="9">
        <f>5+7+72</f>
        <v>84</v>
      </c>
      <c r="H27" s="16">
        <f t="shared" si="4"/>
        <v>7.3107049608355096E-2</v>
      </c>
      <c r="I27" s="9">
        <f>9+2+77</f>
        <v>88</v>
      </c>
      <c r="J27" s="17">
        <f t="shared" si="5"/>
        <v>8.8176352705410826E-2</v>
      </c>
    </row>
    <row r="28" spans="2:13" x14ac:dyDescent="0.2">
      <c r="F28" s="6" t="s">
        <v>3</v>
      </c>
      <c r="G28" s="9">
        <f>2+15+57</f>
        <v>74</v>
      </c>
      <c r="H28" s="16">
        <f t="shared" si="4"/>
        <v>6.4403829416884245E-2</v>
      </c>
      <c r="I28" s="9">
        <f>4+2+46</f>
        <v>52</v>
      </c>
      <c r="J28" s="17">
        <f t="shared" si="5"/>
        <v>5.2104208416833664E-2</v>
      </c>
    </row>
    <row r="29" spans="2:13" x14ac:dyDescent="0.2">
      <c r="F29" s="6" t="s">
        <v>4</v>
      </c>
      <c r="G29" s="9">
        <f>2+9+55</f>
        <v>66</v>
      </c>
      <c r="H29" s="16">
        <f t="shared" si="4"/>
        <v>5.7441253263707574E-2</v>
      </c>
      <c r="I29" s="9">
        <f>10+2+63</f>
        <v>75</v>
      </c>
      <c r="J29" s="17">
        <f t="shared" si="5"/>
        <v>7.5150300601202411E-2</v>
      </c>
    </row>
    <row r="30" spans="2:13" x14ac:dyDescent="0.2">
      <c r="F30" s="6" t="s">
        <v>5</v>
      </c>
      <c r="G30" s="9">
        <f>3+6+46</f>
        <v>55</v>
      </c>
      <c r="H30" s="16">
        <f t="shared" si="4"/>
        <v>4.7867711053089644E-2</v>
      </c>
      <c r="I30" s="9">
        <f>8+2+61</f>
        <v>71</v>
      </c>
      <c r="J30" s="17">
        <f t="shared" si="5"/>
        <v>7.1142284569138278E-2</v>
      </c>
    </row>
    <row r="31" spans="2:13" x14ac:dyDescent="0.2">
      <c r="F31" s="6" t="s">
        <v>6</v>
      </c>
      <c r="G31" s="9">
        <f>3+13+52</f>
        <v>68</v>
      </c>
      <c r="H31" s="16">
        <f t="shared" si="4"/>
        <v>5.918189730200174E-2</v>
      </c>
      <c r="I31" s="9">
        <f>8+6+56</f>
        <v>70</v>
      </c>
      <c r="J31" s="17">
        <f t="shared" si="5"/>
        <v>7.0140280561122245E-2</v>
      </c>
    </row>
    <row r="32" spans="2:13" x14ac:dyDescent="0.2">
      <c r="F32" s="6" t="s">
        <v>7</v>
      </c>
      <c r="G32" s="9">
        <f>6+10+42</f>
        <v>58</v>
      </c>
      <c r="H32" s="16">
        <f t="shared" si="4"/>
        <v>5.0478677110530897E-2</v>
      </c>
      <c r="I32" s="9">
        <f>11+1+44</f>
        <v>56</v>
      </c>
      <c r="J32" s="17">
        <f t="shared" si="5"/>
        <v>5.6112224448897796E-2</v>
      </c>
    </row>
    <row r="33" spans="6:10" x14ac:dyDescent="0.2">
      <c r="F33" s="6" t="s">
        <v>8</v>
      </c>
      <c r="G33" s="9">
        <f>4+12+75</f>
        <v>91</v>
      </c>
      <c r="H33" s="16">
        <f t="shared" si="4"/>
        <v>7.919930374238468E-2</v>
      </c>
      <c r="I33" s="9">
        <f>10+0+44</f>
        <v>54</v>
      </c>
      <c r="J33" s="17">
        <f t="shared" si="5"/>
        <v>5.410821643286573E-2</v>
      </c>
    </row>
    <row r="34" spans="6:10" x14ac:dyDescent="0.2">
      <c r="F34" s="6" t="s">
        <v>9</v>
      </c>
      <c r="G34" s="9">
        <f>3+18+94</f>
        <v>115</v>
      </c>
      <c r="H34" s="16">
        <f t="shared" si="4"/>
        <v>0.10008703220191471</v>
      </c>
      <c r="I34" s="9">
        <f>8+1+57</f>
        <v>66</v>
      </c>
      <c r="J34" s="17">
        <f t="shared" si="5"/>
        <v>6.6132264529058113E-2</v>
      </c>
    </row>
    <row r="35" spans="6:10" x14ac:dyDescent="0.2">
      <c r="F35" s="6" t="s">
        <v>10</v>
      </c>
      <c r="G35" s="9">
        <f>10+17+97</f>
        <v>124</v>
      </c>
      <c r="H35" s="16">
        <f t="shared" si="4"/>
        <v>0.10791993037423847</v>
      </c>
      <c r="I35" s="9">
        <f>7+3+89</f>
        <v>99</v>
      </c>
      <c r="J35" s="17">
        <f t="shared" si="5"/>
        <v>9.9198396793587176E-2</v>
      </c>
    </row>
    <row r="36" spans="6:10" ht="13.5" thickBot="1" x14ac:dyDescent="0.25">
      <c r="F36" s="7" t="s">
        <v>11</v>
      </c>
      <c r="G36" s="18">
        <f>5+27+154</f>
        <v>186</v>
      </c>
      <c r="H36" s="19">
        <f t="shared" si="4"/>
        <v>0.16187989556135771</v>
      </c>
      <c r="I36" s="18">
        <f>13+3+100</f>
        <v>116</v>
      </c>
      <c r="J36" s="20">
        <f t="shared" si="5"/>
        <v>0.11623246492985972</v>
      </c>
    </row>
    <row r="37" spans="6:10" ht="13.5" thickTop="1" x14ac:dyDescent="0.2">
      <c r="F37" s="12" t="s">
        <v>147</v>
      </c>
      <c r="H37" s="21">
        <f>SUM(H25:H36)</f>
        <v>0.88163620539599663</v>
      </c>
      <c r="J37" s="21">
        <f>SUM(J25:J36)</f>
        <v>0.88276553106212419</v>
      </c>
    </row>
    <row r="38" spans="6:10" x14ac:dyDescent="0.2">
      <c r="F38" s="1" t="s">
        <v>21</v>
      </c>
      <c r="G38" s="11">
        <f>54+175+920</f>
        <v>1149</v>
      </c>
      <c r="H38" s="21"/>
      <c r="I38" s="11">
        <f>121+28+849</f>
        <v>998</v>
      </c>
      <c r="J38" s="21"/>
    </row>
    <row r="39" spans="6:10" x14ac:dyDescent="0.2">
      <c r="F39" s="1" t="s">
        <v>148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149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96">
        <v>1343.19</v>
      </c>
      <c r="H43" s="14">
        <f>G43/G56</f>
        <v>3.1579207222457328E-2</v>
      </c>
      <c r="I43" s="96">
        <v>1343.19</v>
      </c>
      <c r="J43" s="15">
        <f>I43/I56</f>
        <v>3.1579207222457328E-2</v>
      </c>
    </row>
    <row r="44" spans="6:10" x14ac:dyDescent="0.2">
      <c r="F44" s="6" t="s">
        <v>1</v>
      </c>
      <c r="G44" s="97">
        <v>1343.19</v>
      </c>
      <c r="H44" s="16">
        <f t="shared" ref="H44:H54" si="6">G44/$G$56</f>
        <v>3.1579207222457328E-2</v>
      </c>
      <c r="I44" s="97">
        <v>2014.7850000000001</v>
      </c>
      <c r="J44" s="17">
        <f t="shared" ref="J44:J54" si="7">I44/$I$56</f>
        <v>4.7368810833685993E-2</v>
      </c>
    </row>
    <row r="45" spans="6:10" x14ac:dyDescent="0.2">
      <c r="F45" s="6" t="s">
        <v>2</v>
      </c>
      <c r="G45" s="97">
        <v>1790.92</v>
      </c>
      <c r="H45" s="16">
        <f t="shared" si="6"/>
        <v>4.2105609629943107E-2</v>
      </c>
      <c r="I45" s="97">
        <v>1343.19</v>
      </c>
      <c r="J45" s="17">
        <f t="shared" si="7"/>
        <v>3.1579207222457328E-2</v>
      </c>
    </row>
    <row r="46" spans="6:10" x14ac:dyDescent="0.2">
      <c r="F46" s="6" t="s">
        <v>3</v>
      </c>
      <c r="G46" s="97">
        <v>4029.57</v>
      </c>
      <c r="H46" s="16">
        <f t="shared" si="6"/>
        <v>9.4737621667371985E-2</v>
      </c>
      <c r="I46" s="97">
        <v>1567.0550000000001</v>
      </c>
      <c r="J46" s="17">
        <f t="shared" si="7"/>
        <v>3.6842408426200221E-2</v>
      </c>
    </row>
    <row r="47" spans="6:10" x14ac:dyDescent="0.2">
      <c r="F47" s="6" t="s">
        <v>4</v>
      </c>
      <c r="G47" s="97">
        <v>2686.38</v>
      </c>
      <c r="H47" s="16">
        <f t="shared" si="6"/>
        <v>6.3158414444914657E-2</v>
      </c>
      <c r="I47" s="97">
        <v>2910.2449999999999</v>
      </c>
      <c r="J47" s="17">
        <f t="shared" si="7"/>
        <v>6.8421615648657536E-2</v>
      </c>
    </row>
    <row r="48" spans="6:10" x14ac:dyDescent="0.2">
      <c r="F48" s="6" t="s">
        <v>5</v>
      </c>
      <c r="G48" s="97">
        <v>2238.65</v>
      </c>
      <c r="H48" s="16">
        <f t="shared" si="6"/>
        <v>5.2632012037428885E-2</v>
      </c>
      <c r="I48" s="97">
        <v>3357.9749999999999</v>
      </c>
      <c r="J48" s="17">
        <f t="shared" si="7"/>
        <v>7.8948018056143321E-2</v>
      </c>
    </row>
    <row r="49" spans="6:10" x14ac:dyDescent="0.2">
      <c r="F49" s="6" t="s">
        <v>6</v>
      </c>
      <c r="G49" s="97">
        <v>2238.65</v>
      </c>
      <c r="H49" s="16">
        <f t="shared" si="6"/>
        <v>5.2632012037428885E-2</v>
      </c>
      <c r="I49" s="97">
        <v>2462.5149999999999</v>
      </c>
      <c r="J49" s="17">
        <f t="shared" si="7"/>
        <v>5.7895213241171764E-2</v>
      </c>
    </row>
    <row r="50" spans="6:10" x14ac:dyDescent="0.2">
      <c r="F50" s="6" t="s">
        <v>7</v>
      </c>
      <c r="G50" s="97">
        <v>2686.38</v>
      </c>
      <c r="H50" s="16">
        <f t="shared" si="6"/>
        <v>6.3158414444914657E-2</v>
      </c>
      <c r="I50" s="97">
        <v>2238.65</v>
      </c>
      <c r="J50" s="17">
        <f t="shared" si="7"/>
        <v>5.2632012037428885E-2</v>
      </c>
    </row>
    <row r="51" spans="6:10" x14ac:dyDescent="0.2">
      <c r="F51" s="6" t="s">
        <v>8</v>
      </c>
      <c r="G51" s="97">
        <v>2238.65</v>
      </c>
      <c r="H51" s="16">
        <f t="shared" si="6"/>
        <v>5.2632012037428885E-2</v>
      </c>
      <c r="I51" s="97">
        <v>2462.5149999999999</v>
      </c>
      <c r="J51" s="17">
        <f t="shared" si="7"/>
        <v>5.7895213241171764E-2</v>
      </c>
    </row>
    <row r="52" spans="6:10" x14ac:dyDescent="0.2">
      <c r="F52" s="6" t="s">
        <v>9</v>
      </c>
      <c r="G52" s="97">
        <v>3581.84</v>
      </c>
      <c r="H52" s="16">
        <f t="shared" si="6"/>
        <v>8.4211219259886214E-2</v>
      </c>
      <c r="I52" s="97">
        <v>2462.5149999999999</v>
      </c>
      <c r="J52" s="17">
        <f t="shared" si="7"/>
        <v>5.7895213241171764E-2</v>
      </c>
    </row>
    <row r="53" spans="6:10" x14ac:dyDescent="0.2">
      <c r="F53" s="6" t="s">
        <v>10</v>
      </c>
      <c r="G53" s="97">
        <v>4477.3</v>
      </c>
      <c r="H53" s="16">
        <f t="shared" si="6"/>
        <v>0.10526402407485777</v>
      </c>
      <c r="I53" s="97">
        <v>2910.2449999999999</v>
      </c>
      <c r="J53" s="17">
        <f t="shared" si="7"/>
        <v>6.8421615648657536E-2</v>
      </c>
    </row>
    <row r="54" spans="6:10" ht="13.5" thickBot="1" x14ac:dyDescent="0.25">
      <c r="F54" s="7" t="s">
        <v>11</v>
      </c>
      <c r="G54" s="98">
        <v>4925.03</v>
      </c>
      <c r="H54" s="19">
        <f t="shared" si="6"/>
        <v>0.11579042648234353</v>
      </c>
      <c r="I54" s="98">
        <v>4029.57</v>
      </c>
      <c r="J54" s="20">
        <f t="shared" si="7"/>
        <v>9.4737621667371985E-2</v>
      </c>
    </row>
    <row r="55" spans="6:10" ht="13.5" thickTop="1" x14ac:dyDescent="0.2">
      <c r="F55" s="12" t="s">
        <v>150</v>
      </c>
      <c r="H55" s="21">
        <f>SUM(H43:H54)</f>
        <v>0.78948018056143332</v>
      </c>
      <c r="J55" s="21">
        <f>SUM(J43:J54)</f>
        <v>0.68421615648657552</v>
      </c>
    </row>
    <row r="56" spans="6:10" x14ac:dyDescent="0.2">
      <c r="F56" s="1" t="s">
        <v>21</v>
      </c>
      <c r="G56" s="11">
        <v>42534</v>
      </c>
      <c r="H56" s="21"/>
      <c r="I56" s="11">
        <v>42534</v>
      </c>
    </row>
    <row r="57" spans="6:10" x14ac:dyDescent="0.2">
      <c r="F57" s="1"/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96">
        <f t="shared" ref="G62:G73" si="8">+G7+G25+G43</f>
        <v>1426.19</v>
      </c>
      <c r="H62" s="14">
        <f t="shared" ref="H62:H73" si="9">AVERAGE(H7,H25)</f>
        <v>2.9571121788434501E-2</v>
      </c>
      <c r="I62" s="96">
        <f t="shared" ref="I62:I73" si="10">+I7+I25+I43</f>
        <v>1431.19</v>
      </c>
      <c r="J62" s="15">
        <f t="shared" ref="J62:J73" si="11">+AVERAGE(J7, J25)</f>
        <v>3.9549098196392782E-2</v>
      </c>
    </row>
    <row r="63" spans="6:10" x14ac:dyDescent="0.2">
      <c r="F63" s="6" t="s">
        <v>27</v>
      </c>
      <c r="G63" s="97">
        <f t="shared" si="8"/>
        <v>1476.19</v>
      </c>
      <c r="H63" s="22">
        <f t="shared" si="9"/>
        <v>4.7150081624875759E-2</v>
      </c>
      <c r="I63" s="97">
        <f t="shared" si="10"/>
        <v>2181.7849999999999</v>
      </c>
      <c r="J63" s="17">
        <f t="shared" si="11"/>
        <v>7.4123631879142893E-2</v>
      </c>
    </row>
    <row r="64" spans="6:10" x14ac:dyDescent="0.2">
      <c r="F64" s="6" t="s">
        <v>28</v>
      </c>
      <c r="G64" s="97">
        <f t="shared" si="8"/>
        <v>2018.92</v>
      </c>
      <c r="H64" s="22">
        <f t="shared" si="9"/>
        <v>7.9157075100035529E-2</v>
      </c>
      <c r="I64" s="97">
        <f t="shared" si="10"/>
        <v>1471.19</v>
      </c>
      <c r="J64" s="17">
        <f t="shared" si="11"/>
        <v>5.9472791737320799E-2</v>
      </c>
    </row>
    <row r="65" spans="6:10" x14ac:dyDescent="0.2">
      <c r="F65" s="6" t="s">
        <v>29</v>
      </c>
      <c r="G65" s="97">
        <f t="shared" si="8"/>
        <v>4222.57</v>
      </c>
      <c r="H65" s="22">
        <f t="shared" si="9"/>
        <v>6.7409015300158096E-2</v>
      </c>
      <c r="I65" s="97">
        <f t="shared" si="10"/>
        <v>1696.0550000000001</v>
      </c>
      <c r="J65" s="17">
        <f t="shared" si="11"/>
        <v>5.5667488823801445E-2</v>
      </c>
    </row>
    <row r="66" spans="6:10" x14ac:dyDescent="0.2">
      <c r="F66" s="6" t="s">
        <v>30</v>
      </c>
      <c r="G66" s="97">
        <f t="shared" si="8"/>
        <v>2866.38</v>
      </c>
      <c r="H66" s="22">
        <f t="shared" si="9"/>
        <v>6.2448437282741368E-2</v>
      </c>
      <c r="I66" s="97">
        <f t="shared" si="10"/>
        <v>3093.2449999999999</v>
      </c>
      <c r="J66" s="17">
        <f t="shared" si="11"/>
        <v>7.9113611839062736E-2</v>
      </c>
    </row>
    <row r="67" spans="6:10" x14ac:dyDescent="0.2">
      <c r="F67" s="6" t="s">
        <v>37</v>
      </c>
      <c r="G67" s="97">
        <f t="shared" si="8"/>
        <v>2395.65</v>
      </c>
      <c r="H67" s="22">
        <f t="shared" si="9"/>
        <v>5.4111370319444227E-2</v>
      </c>
      <c r="I67" s="97">
        <f t="shared" si="10"/>
        <v>3561.9749999999999</v>
      </c>
      <c r="J67" s="17">
        <f t="shared" si="11"/>
        <v>8.6724988438415293E-2</v>
      </c>
    </row>
    <row r="68" spans="6:10" x14ac:dyDescent="0.2">
      <c r="F68" s="6" t="s">
        <v>31</v>
      </c>
      <c r="G68" s="97">
        <f t="shared" si="8"/>
        <v>2389.65</v>
      </c>
      <c r="H68" s="22">
        <f t="shared" si="9"/>
        <v>5.4147161668752344E-2</v>
      </c>
      <c r="I68" s="97">
        <f t="shared" si="10"/>
        <v>2614.5149999999999</v>
      </c>
      <c r="J68" s="17">
        <f t="shared" si="11"/>
        <v>6.6608601819022659E-2</v>
      </c>
    </row>
    <row r="69" spans="6:10" x14ac:dyDescent="0.2">
      <c r="F69" s="6" t="s">
        <v>32</v>
      </c>
      <c r="G69" s="97">
        <f t="shared" si="8"/>
        <v>2814.38</v>
      </c>
      <c r="H69" s="22">
        <f t="shared" si="9"/>
        <v>4.5949397726863087E-2</v>
      </c>
      <c r="I69" s="97">
        <f t="shared" si="10"/>
        <v>2364.65</v>
      </c>
      <c r="J69" s="17">
        <f t="shared" si="11"/>
        <v>5.4979189147525823E-2</v>
      </c>
    </row>
    <row r="70" spans="6:10" x14ac:dyDescent="0.2">
      <c r="F70" s="6" t="s">
        <v>33</v>
      </c>
      <c r="G70" s="97">
        <f t="shared" si="8"/>
        <v>2385.65</v>
      </c>
      <c r="H70" s="22">
        <f t="shared" si="9"/>
        <v>5.6167699208470451E-2</v>
      </c>
      <c r="I70" s="97">
        <f t="shared" si="10"/>
        <v>2588.5149999999999</v>
      </c>
      <c r="J70" s="17">
        <f t="shared" si="11"/>
        <v>5.4746415908740562E-2</v>
      </c>
    </row>
    <row r="71" spans="6:10" x14ac:dyDescent="0.2">
      <c r="F71" s="6" t="s">
        <v>34</v>
      </c>
      <c r="G71" s="97">
        <f t="shared" si="8"/>
        <v>3829.84</v>
      </c>
      <c r="H71" s="22">
        <f t="shared" si="9"/>
        <v>8.9392628526992868E-2</v>
      </c>
      <c r="I71" s="97">
        <f t="shared" si="10"/>
        <v>2607.5149999999999</v>
      </c>
      <c r="J71" s="17">
        <f t="shared" si="11"/>
        <v>6.3450747649144434E-2</v>
      </c>
    </row>
    <row r="72" spans="6:10" x14ac:dyDescent="0.2">
      <c r="F72" s="6" t="s">
        <v>35</v>
      </c>
      <c r="G72" s="97">
        <f t="shared" si="8"/>
        <v>4753.3</v>
      </c>
      <c r="H72" s="22">
        <f t="shared" si="9"/>
        <v>9.8930379388302667E-2</v>
      </c>
      <c r="I72" s="97">
        <f t="shared" si="10"/>
        <v>3098.2449999999999</v>
      </c>
      <c r="J72" s="17">
        <f t="shared" si="11"/>
        <v>8.3829967627562813E-2</v>
      </c>
    </row>
    <row r="73" spans="6:10" ht="13.5" thickBot="1" x14ac:dyDescent="0.25">
      <c r="F73" s="7" t="s">
        <v>36</v>
      </c>
      <c r="G73" s="98">
        <f t="shared" si="8"/>
        <v>5325.03</v>
      </c>
      <c r="H73" s="19">
        <f t="shared" si="9"/>
        <v>0.14425355724813449</v>
      </c>
      <c r="I73" s="98">
        <f t="shared" si="10"/>
        <v>4288.57</v>
      </c>
      <c r="J73" s="20">
        <f t="shared" si="11"/>
        <v>0.11311623246492986</v>
      </c>
    </row>
    <row r="74" spans="6:10" ht="13.5" thickTop="1" x14ac:dyDescent="0.2">
      <c r="F74" s="12" t="s">
        <v>25</v>
      </c>
      <c r="H74" s="21">
        <f>SUM(H62:H73)</f>
        <v>0.82868792518320522</v>
      </c>
      <c r="J74" s="21">
        <f>SUM(J62:J73)</f>
        <v>0.83138276553106216</v>
      </c>
    </row>
    <row r="75" spans="6:10" x14ac:dyDescent="0.2">
      <c r="F75" s="1" t="s">
        <v>21</v>
      </c>
      <c r="G75" s="64">
        <f>AVERAGE(G20,G38,G56)</f>
        <v>15124.333333333334</v>
      </c>
      <c r="H75" s="21"/>
      <c r="I75" s="11">
        <f>AVERAGE(I20,I38,I56)</f>
        <v>14944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CCB9-1E2C-4F24-910F-4D6EDBD53FF6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249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0.1038</v>
      </c>
      <c r="D7" s="163">
        <v>4.58E-2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0.313</v>
      </c>
      <c r="D8" s="166">
        <v>0.13350000000000001</v>
      </c>
      <c r="E8" s="175"/>
      <c r="F8" s="175"/>
      <c r="G8" s="175"/>
      <c r="H8" s="175"/>
    </row>
    <row r="9" spans="2:26" x14ac:dyDescent="0.2">
      <c r="B9" s="117" t="s">
        <v>28</v>
      </c>
      <c r="C9" s="149">
        <v>8.9200000000000002E-2</v>
      </c>
      <c r="D9" s="166">
        <v>3.9600000000000003E-2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2.4300000000000002E-2</v>
      </c>
      <c r="D10" s="166">
        <v>2.58E-2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3.4800000000000005E-2</v>
      </c>
      <c r="D11" s="166">
        <v>3.4700000000000002E-2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3.0800000000000001E-2</v>
      </c>
      <c r="D12" s="166">
        <v>2.6100000000000002E-2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3.4099999999999998E-2</v>
      </c>
      <c r="D13" s="166">
        <v>4.6800000000000001E-2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4.0600000000000004E-2</v>
      </c>
      <c r="D14" s="166">
        <v>4.3700000000000003E-2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5.9200000000000003E-2</v>
      </c>
      <c r="D15" s="166">
        <v>3.8900000000000004E-2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9.0300000000000005E-2</v>
      </c>
      <c r="D16" s="166">
        <v>0.27860000000000001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6.25E-2</v>
      </c>
      <c r="D17" s="166">
        <v>8.7000000000000008E-2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8.1799999999999998E-2</v>
      </c>
      <c r="D18" s="166">
        <v>0.12660000000000002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2.2700000000000001E-2</v>
      </c>
      <c r="D19" s="166">
        <v>4.82E-2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2.7000000000000001E-3</v>
      </c>
      <c r="D20" s="166">
        <v>1.5800000000000002E-2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0</v>
      </c>
      <c r="D21" s="166">
        <v>1.7000000000000001E-3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6.9999999999999999E-4</v>
      </c>
      <c r="D22" s="166">
        <v>3.0000000000000003E-4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9.4999999999999998E-3</v>
      </c>
      <c r="D23" s="168">
        <v>6.9000000000000008E-3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1.0000000000000002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250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Z6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7" max="8" width="9.140625" customWidth="1"/>
    <col min="9" max="9" width="10.85546875" bestFit="1" customWidth="1"/>
    <col min="11" max="11" width="15.7109375" bestFit="1" customWidth="1"/>
  </cols>
  <sheetData>
    <row r="2" spans="2:26" x14ac:dyDescent="0.2">
      <c r="B2" s="232" t="s">
        <v>290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40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14</v>
      </c>
      <c r="D6" s="113" t="s">
        <v>16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</row>
    <row r="7" spans="2:26" ht="12.75" customHeight="1" thickTop="1" x14ac:dyDescent="0.2">
      <c r="B7" s="114" t="s">
        <v>26</v>
      </c>
      <c r="C7" s="115">
        <v>0.08</v>
      </c>
      <c r="D7" s="116">
        <v>3.4665660632072819E-2</v>
      </c>
      <c r="F7" s="8" t="s">
        <v>26</v>
      </c>
      <c r="G7" s="24">
        <v>165</v>
      </c>
      <c r="H7" s="25">
        <f t="shared" ref="H7:H18" si="0">G7/$L$10</f>
        <v>0.10956175298804781</v>
      </c>
      <c r="I7" s="24">
        <v>40</v>
      </c>
      <c r="J7" s="26">
        <f t="shared" ref="J7:J18" si="1">I7/$L$12</f>
        <v>3.117692907248636E-2</v>
      </c>
    </row>
    <row r="8" spans="2:26" x14ac:dyDescent="0.2">
      <c r="B8" s="117" t="s">
        <v>27</v>
      </c>
      <c r="C8" s="118">
        <v>0.32608764940239043</v>
      </c>
      <c r="D8" s="119">
        <v>0.151</v>
      </c>
      <c r="F8" s="6" t="s">
        <v>27</v>
      </c>
      <c r="G8" s="27">
        <v>436</v>
      </c>
      <c r="H8" s="28">
        <f t="shared" si="0"/>
        <v>0.28950863213811423</v>
      </c>
      <c r="I8" s="27">
        <v>133</v>
      </c>
      <c r="J8" s="29">
        <f t="shared" si="1"/>
        <v>0.10366328916601715</v>
      </c>
    </row>
    <row r="9" spans="2:26" x14ac:dyDescent="0.2">
      <c r="B9" s="117" t="s">
        <v>28</v>
      </c>
      <c r="C9" s="120">
        <v>2.0069942452412573E-2</v>
      </c>
      <c r="D9" s="119">
        <v>2.8376330707822795E-2</v>
      </c>
      <c r="F9" s="6" t="s">
        <v>28</v>
      </c>
      <c r="G9" s="27">
        <v>31</v>
      </c>
      <c r="H9" s="28">
        <f t="shared" si="0"/>
        <v>2.0584329349269587E-2</v>
      </c>
      <c r="I9" s="27">
        <v>25</v>
      </c>
      <c r="J9" s="29">
        <f t="shared" si="1"/>
        <v>1.9485580670303974E-2</v>
      </c>
    </row>
    <row r="10" spans="2:26" x14ac:dyDescent="0.2">
      <c r="B10" s="117" t="s">
        <v>41</v>
      </c>
      <c r="C10" s="120">
        <v>2.2736609119079199E-2</v>
      </c>
      <c r="D10" s="119">
        <v>2.0996015743380954E-2</v>
      </c>
      <c r="F10" s="6" t="s">
        <v>41</v>
      </c>
      <c r="G10" s="27">
        <v>31</v>
      </c>
      <c r="H10" s="28">
        <f t="shared" si="0"/>
        <v>2.0584329349269587E-2</v>
      </c>
      <c r="I10" s="27">
        <v>22</v>
      </c>
      <c r="J10" s="29">
        <f t="shared" si="1"/>
        <v>1.7147310989867499E-2</v>
      </c>
      <c r="K10" s="30" t="s">
        <v>42</v>
      </c>
      <c r="L10" s="31">
        <v>1506</v>
      </c>
    </row>
    <row r="11" spans="2:26" x14ac:dyDescent="0.2">
      <c r="B11" s="117" t="s">
        <v>30</v>
      </c>
      <c r="C11" s="120">
        <v>1.785834440017707E-2</v>
      </c>
      <c r="D11" s="119">
        <v>2.0834183414122708E-2</v>
      </c>
      <c r="F11" s="6" t="s">
        <v>30</v>
      </c>
      <c r="G11" s="27">
        <v>23</v>
      </c>
      <c r="H11" s="28">
        <f t="shared" si="0"/>
        <v>1.5272244355909695E-2</v>
      </c>
      <c r="I11" s="27">
        <v>25</v>
      </c>
      <c r="J11" s="29">
        <f t="shared" si="1"/>
        <v>1.9485580670303974E-2</v>
      </c>
    </row>
    <row r="12" spans="2:26" x14ac:dyDescent="0.2">
      <c r="B12" s="117" t="s">
        <v>37</v>
      </c>
      <c r="C12" s="120">
        <v>1.9073926516157594E-2</v>
      </c>
      <c r="D12" s="119">
        <v>2.9947280006583948E-2</v>
      </c>
      <c r="F12" s="6" t="s">
        <v>5</v>
      </c>
      <c r="G12" s="27">
        <v>28</v>
      </c>
      <c r="H12" s="28">
        <f t="shared" si="0"/>
        <v>1.8592297476759629E-2</v>
      </c>
      <c r="I12" s="27">
        <v>37</v>
      </c>
      <c r="J12" s="29">
        <f t="shared" si="1"/>
        <v>2.8838659392049885E-2</v>
      </c>
      <c r="K12" s="30" t="s">
        <v>43</v>
      </c>
      <c r="L12" s="31">
        <v>1283</v>
      </c>
    </row>
    <row r="13" spans="2:26" x14ac:dyDescent="0.2">
      <c r="B13" s="117" t="s">
        <v>31</v>
      </c>
      <c r="C13" s="120">
        <v>3.1946879150066401E-2</v>
      </c>
      <c r="D13" s="119">
        <v>3.1224303066307683E-2</v>
      </c>
      <c r="F13" s="6" t="s">
        <v>31</v>
      </c>
      <c r="G13" s="27">
        <v>40</v>
      </c>
      <c r="H13" s="28">
        <f t="shared" si="0"/>
        <v>2.6560424966799469E-2</v>
      </c>
      <c r="I13" s="27">
        <v>38</v>
      </c>
      <c r="J13" s="29">
        <f t="shared" si="1"/>
        <v>2.9618082618862042E-2</v>
      </c>
    </row>
    <row r="14" spans="2:26" x14ac:dyDescent="0.2">
      <c r="B14" s="117" t="s">
        <v>44</v>
      </c>
      <c r="C14" s="120">
        <v>2.2404603806994244E-2</v>
      </c>
      <c r="D14" s="119">
        <v>3.2824990784547918E-2</v>
      </c>
      <c r="F14" s="6" t="s">
        <v>44</v>
      </c>
      <c r="G14" s="27">
        <v>30</v>
      </c>
      <c r="H14" s="28">
        <f t="shared" si="0"/>
        <v>1.9920318725099601E-2</v>
      </c>
      <c r="I14" s="27">
        <v>33</v>
      </c>
      <c r="J14" s="29">
        <f t="shared" si="1"/>
        <v>2.5720966484801246E-2</v>
      </c>
    </row>
    <row r="15" spans="2:26" x14ac:dyDescent="0.2">
      <c r="B15" s="117" t="s">
        <v>33</v>
      </c>
      <c r="C15" s="120">
        <v>0.1</v>
      </c>
      <c r="D15" s="119">
        <v>0.22</v>
      </c>
      <c r="F15" s="6" t="s">
        <v>33</v>
      </c>
      <c r="G15" s="27">
        <v>94</v>
      </c>
      <c r="H15" s="28">
        <f t="shared" si="0"/>
        <v>6.2416998671978752E-2</v>
      </c>
      <c r="I15" s="27">
        <v>213</v>
      </c>
      <c r="J15" s="29">
        <f t="shared" si="1"/>
        <v>0.16601714731098988</v>
      </c>
    </row>
    <row r="16" spans="2:26" x14ac:dyDescent="0.2">
      <c r="B16" s="117" t="s">
        <v>34</v>
      </c>
      <c r="C16" s="120">
        <v>4.188579017264276E-2</v>
      </c>
      <c r="D16" s="119">
        <v>0.09</v>
      </c>
      <c r="F16" s="6" t="s">
        <v>34</v>
      </c>
      <c r="G16" s="27">
        <v>86</v>
      </c>
      <c r="H16" s="28">
        <f t="shared" si="0"/>
        <v>5.7104913678618856E-2</v>
      </c>
      <c r="I16" s="27">
        <v>169</v>
      </c>
      <c r="J16" s="29">
        <f t="shared" si="1"/>
        <v>0.13172252533125486</v>
      </c>
    </row>
    <row r="17" spans="2:12" x14ac:dyDescent="0.2">
      <c r="B17" s="117" t="s">
        <v>35</v>
      </c>
      <c r="C17" s="120">
        <v>4.7015493581230632E-2</v>
      </c>
      <c r="D17" s="119">
        <v>6.1771538396103297E-2</v>
      </c>
      <c r="F17" s="6" t="s">
        <v>35</v>
      </c>
      <c r="G17" s="27">
        <v>72</v>
      </c>
      <c r="H17" s="28">
        <f t="shared" si="0"/>
        <v>4.7808764940239043E-2</v>
      </c>
      <c r="I17" s="27">
        <v>105</v>
      </c>
      <c r="J17" s="29">
        <f t="shared" si="1"/>
        <v>8.1839438815276694E-2</v>
      </c>
    </row>
    <row r="18" spans="2:12" ht="13.5" thickBot="1" x14ac:dyDescent="0.25">
      <c r="B18" s="121" t="s">
        <v>36</v>
      </c>
      <c r="C18" s="122">
        <v>5.9877822045152726E-2</v>
      </c>
      <c r="D18" s="123">
        <v>7.0225202826394717E-2</v>
      </c>
      <c r="F18" s="7" t="s">
        <v>36</v>
      </c>
      <c r="G18" s="32">
        <v>92</v>
      </c>
      <c r="H18" s="33">
        <f t="shared" si="0"/>
        <v>6.1088977423638779E-2</v>
      </c>
      <c r="I18" s="32">
        <v>121</v>
      </c>
      <c r="J18" s="34">
        <f t="shared" si="1"/>
        <v>9.4310210444271236E-2</v>
      </c>
    </row>
    <row r="19" spans="2:12" ht="14.25" thickTop="1" thickBot="1" x14ac:dyDescent="0.25">
      <c r="B19" s="124"/>
      <c r="C19" s="125">
        <f>SUM(C7:C18)</f>
        <v>0.78895706064630355</v>
      </c>
      <c r="D19" s="126">
        <f>SUM(D7:D18)</f>
        <v>0.79186550557733693</v>
      </c>
      <c r="F19" s="1" t="s">
        <v>48</v>
      </c>
      <c r="H19" s="35">
        <f>SUM(H7:H18)</f>
        <v>0.7490039840637448</v>
      </c>
      <c r="J19" s="35">
        <f>SUM(J7:J18)</f>
        <v>0.74902572096648479</v>
      </c>
    </row>
    <row r="20" spans="2:12" ht="14.25" thickTop="1" thickBot="1" x14ac:dyDescent="0.25">
      <c r="F20" s="1"/>
    </row>
    <row r="21" spans="2:12" ht="13.5" thickTop="1" x14ac:dyDescent="0.2">
      <c r="F21" s="2"/>
      <c r="G21" s="243" t="s">
        <v>45</v>
      </c>
      <c r="H21" s="244"/>
      <c r="I21" s="244"/>
      <c r="J21" s="245"/>
    </row>
    <row r="22" spans="2:12" ht="13.5" thickBot="1" x14ac:dyDescent="0.25">
      <c r="B22" s="66" t="s">
        <v>169</v>
      </c>
      <c r="F22" s="3" t="s">
        <v>0</v>
      </c>
      <c r="G22" s="9" t="s">
        <v>13</v>
      </c>
      <c r="H22" s="4" t="s">
        <v>14</v>
      </c>
      <c r="I22" s="9" t="s">
        <v>15</v>
      </c>
      <c r="J22" s="5" t="s">
        <v>16</v>
      </c>
    </row>
    <row r="23" spans="2:12" ht="13.5" thickTop="1" x14ac:dyDescent="0.2">
      <c r="F23" s="8" t="s">
        <v>12</v>
      </c>
      <c r="G23" s="24">
        <v>79</v>
      </c>
      <c r="H23" s="25">
        <f t="shared" ref="H23:H34" si="2">G23/$L$26</f>
        <v>7.0222222222222228E-2</v>
      </c>
      <c r="I23" s="24">
        <v>43</v>
      </c>
      <c r="J23" s="26">
        <f t="shared" ref="J23:J34" si="3">I23/$L$28</f>
        <v>3.8154392191659274E-2</v>
      </c>
    </row>
    <row r="24" spans="2:12" x14ac:dyDescent="0.2">
      <c r="F24" s="6" t="s">
        <v>1</v>
      </c>
      <c r="G24" s="27">
        <v>408</v>
      </c>
      <c r="H24" s="28">
        <f t="shared" si="2"/>
        <v>0.36266666666666669</v>
      </c>
      <c r="I24" s="27">
        <v>190</v>
      </c>
      <c r="J24" s="29">
        <f t="shared" si="3"/>
        <v>0.16858917480035493</v>
      </c>
    </row>
    <row r="25" spans="2:12" x14ac:dyDescent="0.2">
      <c r="F25" s="6" t="s">
        <v>2</v>
      </c>
      <c r="G25" s="27">
        <v>22</v>
      </c>
      <c r="H25" s="28">
        <f t="shared" si="2"/>
        <v>1.9555555555555555E-2</v>
      </c>
      <c r="I25" s="27">
        <v>42</v>
      </c>
      <c r="J25" s="29">
        <f t="shared" si="3"/>
        <v>3.7267080745341616E-2</v>
      </c>
    </row>
    <row r="26" spans="2:12" x14ac:dyDescent="0.2">
      <c r="F26" s="6" t="s">
        <v>3</v>
      </c>
      <c r="G26" s="27">
        <v>28</v>
      </c>
      <c r="H26" s="28">
        <f t="shared" si="2"/>
        <v>2.4888888888888887E-2</v>
      </c>
      <c r="I26" s="27">
        <v>28</v>
      </c>
      <c r="J26" s="29">
        <f t="shared" si="3"/>
        <v>2.4844720496894408E-2</v>
      </c>
      <c r="K26" s="36" t="s">
        <v>42</v>
      </c>
      <c r="L26" s="31">
        <v>1125</v>
      </c>
    </row>
    <row r="27" spans="2:12" x14ac:dyDescent="0.2">
      <c r="F27" s="6" t="s">
        <v>4</v>
      </c>
      <c r="G27" s="27">
        <v>23</v>
      </c>
      <c r="H27" s="28">
        <f t="shared" si="2"/>
        <v>2.0444444444444446E-2</v>
      </c>
      <c r="I27" s="27">
        <v>25</v>
      </c>
      <c r="J27" s="29">
        <f t="shared" si="3"/>
        <v>2.2182786157941437E-2</v>
      </c>
    </row>
    <row r="28" spans="2:12" x14ac:dyDescent="0.2">
      <c r="F28" s="6" t="s">
        <v>5</v>
      </c>
      <c r="G28" s="27">
        <v>22</v>
      </c>
      <c r="H28" s="28">
        <f t="shared" si="2"/>
        <v>1.9555555555555555E-2</v>
      </c>
      <c r="I28" s="27">
        <v>35</v>
      </c>
      <c r="J28" s="29">
        <f t="shared" si="3"/>
        <v>3.1055900621118012E-2</v>
      </c>
      <c r="K28" s="36" t="s">
        <v>43</v>
      </c>
      <c r="L28" s="31">
        <v>1127</v>
      </c>
    </row>
    <row r="29" spans="2:12" x14ac:dyDescent="0.2">
      <c r="F29" s="6" t="s">
        <v>6</v>
      </c>
      <c r="G29" s="27">
        <v>42</v>
      </c>
      <c r="H29" s="28">
        <f t="shared" si="2"/>
        <v>3.7333333333333336E-2</v>
      </c>
      <c r="I29" s="27">
        <v>37</v>
      </c>
      <c r="J29" s="29">
        <f t="shared" si="3"/>
        <v>3.2830523513753325E-2</v>
      </c>
    </row>
    <row r="30" spans="2:12" x14ac:dyDescent="0.2">
      <c r="F30" s="6" t="s">
        <v>7</v>
      </c>
      <c r="G30" s="27">
        <v>28</v>
      </c>
      <c r="H30" s="28">
        <f t="shared" si="2"/>
        <v>2.4888888888888887E-2</v>
      </c>
      <c r="I30" s="27">
        <v>45</v>
      </c>
      <c r="J30" s="29">
        <f t="shared" si="3"/>
        <v>3.992901508429459E-2</v>
      </c>
    </row>
    <row r="31" spans="2:12" x14ac:dyDescent="0.2">
      <c r="F31" s="6" t="s">
        <v>8</v>
      </c>
      <c r="G31" s="27">
        <v>96</v>
      </c>
      <c r="H31" s="28">
        <f t="shared" si="2"/>
        <v>8.533333333333333E-2</v>
      </c>
      <c r="I31" s="27">
        <v>261</v>
      </c>
      <c r="J31" s="29">
        <f t="shared" si="3"/>
        <v>0.23158828748890861</v>
      </c>
    </row>
    <row r="32" spans="2:12" x14ac:dyDescent="0.2">
      <c r="F32" s="6" t="s">
        <v>9</v>
      </c>
      <c r="G32" s="27">
        <v>30</v>
      </c>
      <c r="H32" s="28">
        <f t="shared" si="2"/>
        <v>2.6666666666666668E-2</v>
      </c>
      <c r="I32" s="27">
        <v>93</v>
      </c>
      <c r="J32" s="29">
        <f t="shared" si="3"/>
        <v>8.2519964507542148E-2</v>
      </c>
    </row>
    <row r="33" spans="6:12" x14ac:dyDescent="0.2">
      <c r="F33" s="6" t="s">
        <v>10</v>
      </c>
      <c r="G33" s="27">
        <v>52</v>
      </c>
      <c r="H33" s="28">
        <f t="shared" si="2"/>
        <v>4.622222222222222E-2</v>
      </c>
      <c r="I33" s="27">
        <v>47</v>
      </c>
      <c r="J33" s="29">
        <f t="shared" si="3"/>
        <v>4.17036379769299E-2</v>
      </c>
    </row>
    <row r="34" spans="6:12" ht="13.5" thickBot="1" x14ac:dyDescent="0.25">
      <c r="F34" s="7" t="s">
        <v>11</v>
      </c>
      <c r="G34" s="32">
        <v>66</v>
      </c>
      <c r="H34" s="33">
        <f t="shared" si="2"/>
        <v>5.8666666666666666E-2</v>
      </c>
      <c r="I34" s="32">
        <v>52</v>
      </c>
      <c r="J34" s="34">
        <f t="shared" si="3"/>
        <v>4.6140195208518191E-2</v>
      </c>
    </row>
    <row r="35" spans="6:12" ht="13.5" thickTop="1" x14ac:dyDescent="0.2">
      <c r="F35" s="12" t="s">
        <v>47</v>
      </c>
      <c r="H35" s="35">
        <f>SUM(H23:H34)</f>
        <v>0.79644444444444451</v>
      </c>
      <c r="J35" s="35">
        <f>SUM(J23:J34)</f>
        <v>0.79680567879325648</v>
      </c>
    </row>
    <row r="36" spans="6:12" ht="13.5" thickBot="1" x14ac:dyDescent="0.25"/>
    <row r="37" spans="6:12" ht="13.5" thickTop="1" x14ac:dyDescent="0.2">
      <c r="F37" s="2"/>
      <c r="G37" s="243" t="s">
        <v>25</v>
      </c>
      <c r="H37" s="244"/>
      <c r="I37" s="244"/>
      <c r="J37" s="245"/>
    </row>
    <row r="38" spans="6:12" ht="13.5" thickBot="1" x14ac:dyDescent="0.25">
      <c r="F38" s="3" t="s">
        <v>0</v>
      </c>
      <c r="G38" s="9" t="s">
        <v>13</v>
      </c>
      <c r="H38" s="4" t="s">
        <v>14</v>
      </c>
      <c r="I38" s="9" t="s">
        <v>15</v>
      </c>
      <c r="J38" s="5" t="s">
        <v>16</v>
      </c>
    </row>
    <row r="39" spans="6:12" ht="13.5" thickTop="1" x14ac:dyDescent="0.2">
      <c r="F39" s="8" t="s">
        <v>12</v>
      </c>
      <c r="G39" s="24"/>
      <c r="H39" s="37">
        <f t="shared" ref="H39:H50" si="4">+AVERAGE(H7,H23)</f>
        <v>8.9891987605135018E-2</v>
      </c>
      <c r="I39" s="24"/>
      <c r="J39" s="38">
        <f t="shared" ref="J39:J50" si="5">+AVERAGE(J7,J23)</f>
        <v>3.4665660632072819E-2</v>
      </c>
    </row>
    <row r="40" spans="6:12" x14ac:dyDescent="0.2">
      <c r="F40" s="6" t="s">
        <v>1</v>
      </c>
      <c r="G40" s="27"/>
      <c r="H40" s="39">
        <f t="shared" si="4"/>
        <v>0.32608764940239043</v>
      </c>
      <c r="I40" s="27"/>
      <c r="J40" s="40">
        <f t="shared" si="5"/>
        <v>0.13612623198318605</v>
      </c>
    </row>
    <row r="41" spans="6:12" x14ac:dyDescent="0.2">
      <c r="F41" s="6" t="s">
        <v>2</v>
      </c>
      <c r="G41" s="27"/>
      <c r="H41" s="39">
        <f t="shared" si="4"/>
        <v>2.0069942452412573E-2</v>
      </c>
      <c r="I41" s="27"/>
      <c r="J41" s="40">
        <f t="shared" si="5"/>
        <v>2.8376330707822795E-2</v>
      </c>
    </row>
    <row r="42" spans="6:12" x14ac:dyDescent="0.2">
      <c r="F42" s="6" t="s">
        <v>3</v>
      </c>
      <c r="G42" s="27"/>
      <c r="H42" s="39">
        <f t="shared" si="4"/>
        <v>2.2736609119079237E-2</v>
      </c>
      <c r="I42" s="27"/>
      <c r="J42" s="40">
        <f t="shared" si="5"/>
        <v>2.0996015743380954E-2</v>
      </c>
      <c r="K42" s="30" t="s">
        <v>42</v>
      </c>
      <c r="L42" s="31"/>
    </row>
    <row r="43" spans="6:12" x14ac:dyDescent="0.2">
      <c r="F43" s="6" t="s">
        <v>4</v>
      </c>
      <c r="G43" s="27"/>
      <c r="H43" s="39">
        <f t="shared" si="4"/>
        <v>1.785834440017707E-2</v>
      </c>
      <c r="I43" s="27"/>
      <c r="J43" s="40">
        <f t="shared" si="5"/>
        <v>2.0834183414122708E-2</v>
      </c>
    </row>
    <row r="44" spans="6:12" x14ac:dyDescent="0.2">
      <c r="F44" s="6" t="s">
        <v>5</v>
      </c>
      <c r="G44" s="27"/>
      <c r="H44" s="39">
        <f t="shared" si="4"/>
        <v>1.9073926516157594E-2</v>
      </c>
      <c r="I44" s="27"/>
      <c r="J44" s="40">
        <f t="shared" si="5"/>
        <v>2.9947280006583948E-2</v>
      </c>
      <c r="K44" s="30" t="s">
        <v>43</v>
      </c>
      <c r="L44" s="31"/>
    </row>
    <row r="45" spans="6:12" x14ac:dyDescent="0.2">
      <c r="F45" s="6" t="s">
        <v>6</v>
      </c>
      <c r="G45" s="27"/>
      <c r="H45" s="39">
        <f t="shared" si="4"/>
        <v>3.1946879150066401E-2</v>
      </c>
      <c r="I45" s="27"/>
      <c r="J45" s="40">
        <f t="shared" si="5"/>
        <v>3.1224303066307683E-2</v>
      </c>
    </row>
    <row r="46" spans="6:12" x14ac:dyDescent="0.2">
      <c r="F46" s="6" t="s">
        <v>7</v>
      </c>
      <c r="G46" s="27"/>
      <c r="H46" s="39">
        <f t="shared" si="4"/>
        <v>2.2404603806994244E-2</v>
      </c>
      <c r="I46" s="27"/>
      <c r="J46" s="40">
        <f t="shared" si="5"/>
        <v>3.2824990784547918E-2</v>
      </c>
    </row>
    <row r="47" spans="6:12" x14ac:dyDescent="0.2">
      <c r="F47" s="6" t="s">
        <v>8</v>
      </c>
      <c r="G47" s="27"/>
      <c r="H47" s="39">
        <f t="shared" si="4"/>
        <v>7.3875166002656034E-2</v>
      </c>
      <c r="I47" s="27"/>
      <c r="J47" s="40">
        <f t="shared" si="5"/>
        <v>0.19880271739994926</v>
      </c>
    </row>
    <row r="48" spans="6:12" x14ac:dyDescent="0.2">
      <c r="F48" s="6" t="s">
        <v>9</v>
      </c>
      <c r="G48" s="27"/>
      <c r="H48" s="39">
        <f t="shared" si="4"/>
        <v>4.188579017264276E-2</v>
      </c>
      <c r="I48" s="27"/>
      <c r="J48" s="40">
        <f t="shared" si="5"/>
        <v>0.10712124491939851</v>
      </c>
    </row>
    <row r="49" spans="6:14" x14ac:dyDescent="0.2">
      <c r="F49" s="6" t="s">
        <v>10</v>
      </c>
      <c r="G49" s="27"/>
      <c r="H49" s="39">
        <f t="shared" si="4"/>
        <v>4.7015493581230632E-2</v>
      </c>
      <c r="I49" s="27"/>
      <c r="J49" s="40">
        <f t="shared" si="5"/>
        <v>6.1771538396103297E-2</v>
      </c>
    </row>
    <row r="50" spans="6:14" ht="13.5" thickBot="1" x14ac:dyDescent="0.25">
      <c r="F50" s="7" t="s">
        <v>11</v>
      </c>
      <c r="G50" s="32"/>
      <c r="H50" s="41">
        <f t="shared" si="4"/>
        <v>5.9877822045152726E-2</v>
      </c>
      <c r="I50" s="32"/>
      <c r="J50" s="42">
        <f t="shared" si="5"/>
        <v>7.0225202826394717E-2</v>
      </c>
    </row>
    <row r="51" spans="6:14" ht="13.5" thickTop="1" x14ac:dyDescent="0.2">
      <c r="H51" s="35">
        <f>SUM(H39:H50)</f>
        <v>0.77272421425409465</v>
      </c>
      <c r="J51" s="35">
        <f>SUM(J39:J50)</f>
        <v>0.77291569987987074</v>
      </c>
    </row>
    <row r="54" spans="6:14" x14ac:dyDescent="0.2">
      <c r="M54" s="43"/>
      <c r="N54" s="43"/>
    </row>
    <row r="55" spans="6:14" x14ac:dyDescent="0.2">
      <c r="M55" s="43"/>
      <c r="N55" s="43"/>
    </row>
    <row r="56" spans="6:14" x14ac:dyDescent="0.2">
      <c r="M56" s="43"/>
      <c r="N56" s="43"/>
    </row>
    <row r="57" spans="6:14" x14ac:dyDescent="0.2">
      <c r="M57" s="43"/>
      <c r="N57" s="43"/>
    </row>
    <row r="58" spans="6:14" x14ac:dyDescent="0.2">
      <c r="M58" s="43"/>
      <c r="N58" s="43"/>
    </row>
    <row r="59" spans="6:14" x14ac:dyDescent="0.2">
      <c r="M59" s="43"/>
      <c r="N59" s="43"/>
    </row>
    <row r="60" spans="6:14" x14ac:dyDescent="0.2">
      <c r="M60" s="44"/>
      <c r="N60" s="44"/>
    </row>
  </sheetData>
  <mergeCells count="6">
    <mergeCell ref="B2:Z3"/>
    <mergeCell ref="G5:J5"/>
    <mergeCell ref="G21:J21"/>
    <mergeCell ref="G37:J37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B2:Z3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x14ac:dyDescent="0.2">
      <c r="B2" s="232" t="s">
        <v>191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6.25E-2</v>
      </c>
      <c r="D7" s="163">
        <v>4.3300000000000005E-2</v>
      </c>
      <c r="E7" s="164">
        <v>0</v>
      </c>
      <c r="F7" s="163">
        <v>0</v>
      </c>
      <c r="G7" s="164">
        <v>0</v>
      </c>
      <c r="H7" s="165">
        <v>0</v>
      </c>
    </row>
    <row r="8" spans="2:26" x14ac:dyDescent="0.2">
      <c r="B8" s="117" t="s">
        <v>27</v>
      </c>
      <c r="C8" s="149">
        <v>0.19520000000000001</v>
      </c>
      <c r="D8" s="172">
        <v>0.1633</v>
      </c>
      <c r="E8" s="120">
        <v>0</v>
      </c>
      <c r="F8" s="166">
        <v>0</v>
      </c>
      <c r="G8" s="120">
        <v>0</v>
      </c>
      <c r="H8" s="167">
        <v>0</v>
      </c>
    </row>
    <row r="9" spans="2:26" x14ac:dyDescent="0.2">
      <c r="B9" s="117" t="s">
        <v>28</v>
      </c>
      <c r="C9" s="149">
        <v>0.1323</v>
      </c>
      <c r="D9" s="166">
        <v>0.1285</v>
      </c>
      <c r="E9" s="120">
        <v>0.06</v>
      </c>
      <c r="F9" s="166">
        <v>6.5000000000000002E-2</v>
      </c>
      <c r="G9" s="120">
        <v>4.4999999999999998E-2</v>
      </c>
      <c r="H9" s="167">
        <v>0.05</v>
      </c>
    </row>
    <row r="10" spans="2:26" x14ac:dyDescent="0.2">
      <c r="B10" s="117" t="s">
        <v>29</v>
      </c>
      <c r="C10" s="149">
        <v>5.3999999999999999E-2</v>
      </c>
      <c r="D10" s="166">
        <v>4.5700000000000005E-2</v>
      </c>
      <c r="E10" s="120">
        <v>0.02</v>
      </c>
      <c r="F10" s="166">
        <v>2.1999999999999999E-2</v>
      </c>
      <c r="G10" s="120">
        <v>9.0999999999999998E-2</v>
      </c>
      <c r="H10" s="167">
        <v>0</v>
      </c>
    </row>
    <row r="11" spans="2:26" x14ac:dyDescent="0.2">
      <c r="B11" s="117" t="s">
        <v>30</v>
      </c>
      <c r="C11" s="149">
        <v>2.6000000000000002E-2</v>
      </c>
      <c r="D11" s="166">
        <v>2.86E-2</v>
      </c>
      <c r="E11" s="120">
        <v>0.04</v>
      </c>
      <c r="F11" s="166">
        <v>4.2999999999999997E-2</v>
      </c>
      <c r="G11" s="120">
        <v>0.13600000000000001</v>
      </c>
      <c r="H11" s="167">
        <v>0.1</v>
      </c>
    </row>
    <row r="12" spans="2:26" x14ac:dyDescent="0.2">
      <c r="B12" s="117" t="s">
        <v>37</v>
      </c>
      <c r="C12" s="149">
        <v>2.6000000000000002E-2</v>
      </c>
      <c r="D12" s="166">
        <v>2.6000000000000002E-2</v>
      </c>
      <c r="E12" s="120">
        <v>0.14000000000000001</v>
      </c>
      <c r="F12" s="166">
        <v>0.13</v>
      </c>
      <c r="G12" s="120">
        <v>4.4999999999999998E-2</v>
      </c>
      <c r="H12" s="167">
        <v>0</v>
      </c>
    </row>
    <row r="13" spans="2:26" x14ac:dyDescent="0.2">
      <c r="B13" s="117" t="s">
        <v>31</v>
      </c>
      <c r="C13" s="149">
        <v>2.1000000000000001E-2</v>
      </c>
      <c r="D13" s="166">
        <v>2.6200000000000001E-2</v>
      </c>
      <c r="E13" s="120">
        <v>0.02</v>
      </c>
      <c r="F13" s="166">
        <v>2.1999999999999999E-2</v>
      </c>
      <c r="G13" s="120">
        <v>9.0999999999999998E-2</v>
      </c>
      <c r="H13" s="167">
        <v>0.1</v>
      </c>
    </row>
    <row r="14" spans="2:26" x14ac:dyDescent="0.2">
      <c r="B14" s="117" t="s">
        <v>32</v>
      </c>
      <c r="C14" s="149">
        <v>3.04E-2</v>
      </c>
      <c r="D14" s="166">
        <v>3.2199999999999999E-2</v>
      </c>
      <c r="E14" s="120">
        <v>0.16</v>
      </c>
      <c r="F14" s="166">
        <v>8.6999999999999994E-2</v>
      </c>
      <c r="G14" s="120">
        <v>0</v>
      </c>
      <c r="H14" s="167">
        <v>0.1</v>
      </c>
    </row>
    <row r="15" spans="2:26" x14ac:dyDescent="0.2">
      <c r="B15" s="117" t="s">
        <v>33</v>
      </c>
      <c r="C15" s="149">
        <v>4.1000000000000002E-2</v>
      </c>
      <c r="D15" s="166">
        <v>4.4700000000000004E-2</v>
      </c>
      <c r="E15" s="120">
        <v>0.18</v>
      </c>
      <c r="F15" s="166">
        <v>0.17399999999999999</v>
      </c>
      <c r="G15" s="120">
        <v>0</v>
      </c>
      <c r="H15" s="167">
        <v>0.1</v>
      </c>
    </row>
    <row r="16" spans="2:26" x14ac:dyDescent="0.2">
      <c r="B16" s="117" t="s">
        <v>34</v>
      </c>
      <c r="C16" s="149">
        <v>7.4700000000000003E-2</v>
      </c>
      <c r="D16" s="166">
        <v>6.88E-2</v>
      </c>
      <c r="E16" s="120">
        <v>0.02</v>
      </c>
      <c r="F16" s="166">
        <v>2.1999999999999999E-2</v>
      </c>
      <c r="G16" s="120">
        <v>4.4999999999999998E-2</v>
      </c>
      <c r="H16" s="167">
        <v>0.1</v>
      </c>
    </row>
    <row r="17" spans="2:8" x14ac:dyDescent="0.2">
      <c r="B17" s="117" t="s">
        <v>35</v>
      </c>
      <c r="C17" s="149">
        <v>0.13589999999999999</v>
      </c>
      <c r="D17" s="166">
        <v>0.1399</v>
      </c>
      <c r="E17" s="120">
        <v>0.04</v>
      </c>
      <c r="F17" s="166">
        <v>2.1999999999999999E-2</v>
      </c>
      <c r="G17" s="120">
        <v>9.0999999999999998E-2</v>
      </c>
      <c r="H17" s="167">
        <v>0</v>
      </c>
    </row>
    <row r="18" spans="2:8" x14ac:dyDescent="0.2">
      <c r="B18" s="117" t="s">
        <v>36</v>
      </c>
      <c r="C18" s="149">
        <v>0.1671</v>
      </c>
      <c r="D18" s="166">
        <v>0.18690000000000001</v>
      </c>
      <c r="E18" s="120">
        <v>0.12</v>
      </c>
      <c r="F18" s="166">
        <v>2.1999999999999999E-2</v>
      </c>
      <c r="G18" s="120">
        <v>0.182</v>
      </c>
      <c r="H18" s="167">
        <v>0.15</v>
      </c>
    </row>
    <row r="19" spans="2:8" x14ac:dyDescent="0.2">
      <c r="B19" s="159" t="s">
        <v>141</v>
      </c>
      <c r="C19" s="149">
        <v>2.3599999999999999E-2</v>
      </c>
      <c r="D19" s="166">
        <v>6.3100000000000003E-2</v>
      </c>
      <c r="E19" s="120">
        <v>0.04</v>
      </c>
      <c r="F19" s="166">
        <v>4.2999999999999997E-2</v>
      </c>
      <c r="G19" s="120">
        <v>0.13600000000000001</v>
      </c>
      <c r="H19" s="167">
        <v>0.05</v>
      </c>
    </row>
    <row r="20" spans="2:8" x14ac:dyDescent="0.2">
      <c r="B20" s="157" t="s">
        <v>142</v>
      </c>
      <c r="C20" s="149">
        <v>0</v>
      </c>
      <c r="D20" s="166">
        <v>2.0000000000000001E-4</v>
      </c>
      <c r="E20" s="120">
        <v>0</v>
      </c>
      <c r="F20" s="166">
        <v>2.1999999999999999E-2</v>
      </c>
      <c r="G20" s="120">
        <v>4.4999999999999998E-2</v>
      </c>
      <c r="H20" s="167">
        <v>0.05</v>
      </c>
    </row>
    <row r="21" spans="2:8" x14ac:dyDescent="0.2">
      <c r="B21" s="157" t="s">
        <v>160</v>
      </c>
      <c r="C21" s="149">
        <v>0</v>
      </c>
      <c r="D21" s="166">
        <v>0</v>
      </c>
      <c r="E21" s="120">
        <v>0</v>
      </c>
      <c r="F21" s="166">
        <v>4.2999999999999997E-2</v>
      </c>
      <c r="G21" s="120">
        <v>0</v>
      </c>
      <c r="H21" s="167">
        <v>0.05</v>
      </c>
    </row>
    <row r="22" spans="2:8" x14ac:dyDescent="0.2">
      <c r="B22" s="157" t="s">
        <v>161</v>
      </c>
      <c r="C22" s="149">
        <v>0</v>
      </c>
      <c r="D22" s="166">
        <v>0</v>
      </c>
      <c r="E22" s="120">
        <v>0.04</v>
      </c>
      <c r="F22" s="166">
        <v>0</v>
      </c>
      <c r="G22" s="120">
        <v>9.0999999999999998E-2</v>
      </c>
      <c r="H22" s="167">
        <v>0.05</v>
      </c>
    </row>
    <row r="23" spans="2:8" ht="13.5" thickBot="1" x14ac:dyDescent="0.25">
      <c r="B23" s="160" t="s">
        <v>186</v>
      </c>
      <c r="C23" s="150">
        <v>1.0500000000000001E-2</v>
      </c>
      <c r="D23" s="168">
        <v>2.5000000000000001E-3</v>
      </c>
      <c r="E23" s="169">
        <v>0.12</v>
      </c>
      <c r="F23" s="168">
        <v>0.28299999999999997</v>
      </c>
      <c r="G23" s="169">
        <v>0</v>
      </c>
      <c r="H23" s="170">
        <v>0.1</v>
      </c>
    </row>
    <row r="24" spans="2:8" ht="13.5" thickBot="1" x14ac:dyDescent="0.25">
      <c r="B24" s="142"/>
      <c r="C24" s="143">
        <f>SUM(C7:C23)</f>
        <v>1.0002</v>
      </c>
      <c r="D24" s="161">
        <f t="shared" ref="D24:H24" si="0">SUM(D7:D23)</f>
        <v>0.99990000000000012</v>
      </c>
      <c r="E24" s="171">
        <f t="shared" si="0"/>
        <v>1.0000000000000002</v>
      </c>
      <c r="F24" s="161">
        <f t="shared" si="0"/>
        <v>1</v>
      </c>
      <c r="G24" s="171">
        <f t="shared" si="0"/>
        <v>0.998</v>
      </c>
      <c r="H24" s="144">
        <f t="shared" si="0"/>
        <v>1.0000000000000002</v>
      </c>
    </row>
    <row r="25" spans="2:8" ht="13.5" thickTop="1" x14ac:dyDescent="0.2"/>
    <row r="27" spans="2:8" x14ac:dyDescent="0.2">
      <c r="B27" s="66" t="s">
        <v>251</v>
      </c>
    </row>
    <row r="28" spans="2:8" x14ac:dyDescent="0.2">
      <c r="B28" s="154" t="s">
        <v>198</v>
      </c>
    </row>
    <row r="29" spans="2:8" x14ac:dyDescent="0.2">
      <c r="B29" s="154" t="s">
        <v>199</v>
      </c>
    </row>
    <row r="30" spans="2:8" x14ac:dyDescent="0.2">
      <c r="B30" s="111" t="s">
        <v>253</v>
      </c>
    </row>
    <row r="31" spans="2:8" x14ac:dyDescent="0.2">
      <c r="B31" s="111" t="s">
        <v>252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3AF4-1A13-4529-845B-D3EB0458F742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255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4.7600000000000003E-2</v>
      </c>
      <c r="D7" s="163">
        <v>5.2000000000000006E-3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0.1358</v>
      </c>
      <c r="D8" s="166">
        <v>1.9800000000000002E-2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0.1429</v>
      </c>
      <c r="D9" s="166">
        <v>3.4000000000000002E-2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6.2600000000000003E-2</v>
      </c>
      <c r="D10" s="166">
        <v>4.36E-2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5.4800000000000001E-2</v>
      </c>
      <c r="D11" s="166">
        <v>5.9900000000000002E-2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6.0100000000000001E-2</v>
      </c>
      <c r="D12" s="166">
        <v>0.1028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0.10210000000000001</v>
      </c>
      <c r="D13" s="166">
        <v>0.1013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8.9800000000000005E-2</v>
      </c>
      <c r="D14" s="166">
        <v>6.6299999999999998E-2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8.2600000000000007E-2</v>
      </c>
      <c r="D15" s="166">
        <v>6.4600000000000005E-2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7.3099999999999998E-2</v>
      </c>
      <c r="D16" s="166">
        <v>8.3900000000000002E-2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5.3900000000000003E-2</v>
      </c>
      <c r="D17" s="166">
        <v>0.15230000000000002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4.0300000000000002E-2</v>
      </c>
      <c r="D18" s="166">
        <v>0.15810000000000002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1.67E-2</v>
      </c>
      <c r="D19" s="166">
        <v>2.63E-2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9.4000000000000004E-3</v>
      </c>
      <c r="D20" s="166">
        <v>2.35E-2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6.8000000000000005E-3</v>
      </c>
      <c r="D21" s="166">
        <v>1.34E-2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5.4000000000000003E-3</v>
      </c>
      <c r="D22" s="166">
        <v>1.5700000000000002E-2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1.6199999999999999E-2</v>
      </c>
      <c r="D23" s="168">
        <v>2.9300000000000003E-2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1.0001</v>
      </c>
      <c r="D24" s="161">
        <f t="shared" ref="D24" si="0">SUM(D7:D23)</f>
        <v>0.99999999999999989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254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7"/>
  <sheetViews>
    <sheetView zoomScale="70" zoomScaleNormal="70" workbookViewId="0">
      <pane xSplit="2" topLeftCell="C1" activePane="topRight" state="frozen"/>
      <selection activeCell="B5" sqref="B5:B6"/>
      <selection pane="topRight" sqref="A1:B2"/>
    </sheetView>
  </sheetViews>
  <sheetFormatPr defaultRowHeight="12.75" x14ac:dyDescent="0.2"/>
  <cols>
    <col min="1" max="1" width="10.7109375" style="203" bestFit="1" customWidth="1"/>
    <col min="2" max="2" width="18" style="218" bestFit="1" customWidth="1"/>
    <col min="3" max="3" width="18.140625" style="218" bestFit="1" customWidth="1"/>
    <col min="4" max="4" width="24.85546875" style="218" bestFit="1" customWidth="1"/>
    <col min="5" max="5" width="33.85546875" style="218" bestFit="1" customWidth="1"/>
    <col min="6" max="6" width="33.140625" style="218" bestFit="1" customWidth="1"/>
    <col min="7" max="7" width="16.42578125" style="218" bestFit="1" customWidth="1"/>
    <col min="8" max="8" width="18.7109375" style="218" bestFit="1" customWidth="1"/>
    <col min="9" max="9" width="34" style="218" bestFit="1" customWidth="1"/>
    <col min="10" max="10" width="16.42578125" style="218" bestFit="1" customWidth="1"/>
    <col min="11" max="11" width="20.140625" style="218" bestFit="1" customWidth="1"/>
    <col min="12" max="12" width="25.28515625" style="218" bestFit="1" customWidth="1"/>
    <col min="13" max="13" width="15.7109375" style="218" bestFit="1" customWidth="1"/>
    <col min="14" max="14" width="36.42578125" style="218" bestFit="1" customWidth="1"/>
    <col min="15" max="15" width="31.5703125" style="218" bestFit="1" customWidth="1"/>
    <col min="16" max="17" width="27.140625" style="218" bestFit="1" customWidth="1"/>
    <col min="18" max="18" width="16.85546875" style="218" bestFit="1" customWidth="1"/>
    <col min="19" max="19" width="18.28515625" style="218" bestFit="1" customWidth="1"/>
    <col min="20" max="20" width="34.5703125" style="218" customWidth="1"/>
    <col min="21" max="21" width="21.42578125" style="218" bestFit="1" customWidth="1"/>
    <col min="22" max="22" width="38.5703125" style="218" bestFit="1" customWidth="1"/>
    <col min="23" max="23" width="50" style="218" bestFit="1" customWidth="1"/>
    <col min="24" max="24" width="44.42578125" style="218" bestFit="1" customWidth="1"/>
    <col min="25" max="25" width="45" style="218" bestFit="1" customWidth="1"/>
    <col min="26" max="26" width="9.28515625" style="68" bestFit="1" customWidth="1"/>
    <col min="27" max="52" width="9.140625" style="11" customWidth="1"/>
    <col min="53" max="16384" width="9.140625" style="11"/>
  </cols>
  <sheetData>
    <row r="1" spans="1:26" x14ac:dyDescent="0.2">
      <c r="A1" s="242" t="s">
        <v>216</v>
      </c>
      <c r="B1" s="242"/>
    </row>
    <row r="2" spans="1:26" x14ac:dyDescent="0.2">
      <c r="A2" s="242"/>
      <c r="B2" s="242"/>
    </row>
    <row r="3" spans="1:26" x14ac:dyDescent="0.2">
      <c r="A3" s="11"/>
    </row>
    <row r="4" spans="1:26" x14ac:dyDescent="0.2">
      <c r="B4" s="219" t="s">
        <v>170</v>
      </c>
      <c r="C4" s="219" t="s">
        <v>215</v>
      </c>
      <c r="D4" s="266" t="s">
        <v>239</v>
      </c>
      <c r="E4" s="266" t="s">
        <v>241</v>
      </c>
      <c r="F4" s="266" t="s">
        <v>242</v>
      </c>
      <c r="G4" s="219" t="s">
        <v>218</v>
      </c>
      <c r="H4" s="266" t="s">
        <v>246</v>
      </c>
      <c r="I4" s="266" t="s">
        <v>219</v>
      </c>
      <c r="J4" s="266" t="s">
        <v>248</v>
      </c>
      <c r="K4" s="219" t="s">
        <v>220</v>
      </c>
      <c r="L4" s="219" t="s">
        <v>221</v>
      </c>
      <c r="M4" s="219" t="s">
        <v>222</v>
      </c>
      <c r="N4" s="266" t="s">
        <v>258</v>
      </c>
      <c r="O4" s="266" t="s">
        <v>257</v>
      </c>
      <c r="P4" s="266" t="s">
        <v>261</v>
      </c>
      <c r="Q4" s="266" t="s">
        <v>265</v>
      </c>
      <c r="R4" s="219" t="s">
        <v>223</v>
      </c>
      <c r="S4" s="219" t="s">
        <v>224</v>
      </c>
      <c r="T4" s="266" t="s">
        <v>274</v>
      </c>
      <c r="U4" s="266" t="s">
        <v>225</v>
      </c>
      <c r="V4" s="266" t="s">
        <v>279</v>
      </c>
      <c r="W4" s="266" t="s">
        <v>282</v>
      </c>
      <c r="X4" s="266" t="s">
        <v>288</v>
      </c>
      <c r="Y4" s="266" t="s">
        <v>289</v>
      </c>
      <c r="Z4" s="229" t="s">
        <v>230</v>
      </c>
    </row>
    <row r="5" spans="1:26" x14ac:dyDescent="0.2">
      <c r="B5" s="219" t="s">
        <v>38</v>
      </c>
      <c r="C5" s="219" t="s">
        <v>38</v>
      </c>
      <c r="D5" s="219" t="s">
        <v>38</v>
      </c>
      <c r="E5" s="219" t="s">
        <v>38</v>
      </c>
      <c r="F5" s="219" t="s">
        <v>38</v>
      </c>
      <c r="G5" s="219" t="s">
        <v>38</v>
      </c>
      <c r="H5" s="219" t="s">
        <v>38</v>
      </c>
      <c r="I5" s="219" t="s">
        <v>38</v>
      </c>
      <c r="J5" s="219" t="s">
        <v>38</v>
      </c>
      <c r="K5" s="219" t="s">
        <v>38</v>
      </c>
      <c r="L5" s="219" t="s">
        <v>38</v>
      </c>
      <c r="M5" s="219" t="s">
        <v>38</v>
      </c>
      <c r="N5" s="219" t="s">
        <v>38</v>
      </c>
      <c r="O5" s="219" t="s">
        <v>38</v>
      </c>
      <c r="P5" s="219" t="s">
        <v>38</v>
      </c>
      <c r="Q5" s="219" t="s">
        <v>38</v>
      </c>
      <c r="R5" s="219" t="s">
        <v>38</v>
      </c>
      <c r="S5" s="219" t="s">
        <v>38</v>
      </c>
      <c r="T5" s="219" t="s">
        <v>38</v>
      </c>
      <c r="U5" s="219" t="s">
        <v>38</v>
      </c>
      <c r="V5" s="219" t="s">
        <v>38</v>
      </c>
      <c r="W5" s="219" t="s">
        <v>38</v>
      </c>
      <c r="X5" s="219" t="s">
        <v>38</v>
      </c>
      <c r="Y5" s="219" t="s">
        <v>38</v>
      </c>
      <c r="Z5" s="219" t="s">
        <v>38</v>
      </c>
    </row>
    <row r="6" spans="1:26" x14ac:dyDescent="0.2">
      <c r="A6" s="129" t="s">
        <v>26</v>
      </c>
      <c r="B6" s="214">
        <f>'110-Light Industrial (ITE)'!C7</f>
        <v>7.2099999999999997E-2</v>
      </c>
      <c r="C6" s="214">
        <f>'140-Manufacturing (ITE)'!C7</f>
        <v>0.1709</v>
      </c>
      <c r="D6" s="215">
        <f>'154 - High-Cube Warehouse (ITE)'!C7</f>
        <v>0.10250000000000001</v>
      </c>
      <c r="E6" s="216">
        <f>'210-Single Family (ITE)'!C7</f>
        <v>1.5600000000000001E-2</v>
      </c>
      <c r="F6" s="216">
        <f>'220-MultiFam HousingLR (ITE)'!C7</f>
        <v>1.3670000000000002E-2</v>
      </c>
      <c r="G6" s="133">
        <f>'430 - Golf Course (ITE)'!C7</f>
        <v>4.8000000000000001E-2</v>
      </c>
      <c r="H6" s="216" t="s">
        <v>165</v>
      </c>
      <c r="I6" s="216">
        <f>'495-Rec. Center (ITE)'!C7</f>
        <v>3.5200000000000002E-2</v>
      </c>
      <c r="J6" s="216">
        <f>'525-High School (ITE)'!C7</f>
        <v>0.1038</v>
      </c>
      <c r="K6" s="133">
        <f>'565 - Day Care (ITE)'!C7</f>
        <v>6.25E-2</v>
      </c>
      <c r="L6" s="216">
        <f>'710-General Office (ITE)'!C7</f>
        <v>4.7600000000000003E-2</v>
      </c>
      <c r="M6" s="216" t="s">
        <v>165</v>
      </c>
      <c r="N6" s="133">
        <f>'813 - Discount Superstore (ITE)'!C7</f>
        <v>1.4400000000000001E-2</v>
      </c>
      <c r="O6" s="133">
        <f>'815 - Discount Store (ITE)'!C7</f>
        <v>8.0000000000000004E-4</v>
      </c>
      <c r="P6" s="133">
        <f>'820 - Shopping Center (ITE)'!C7</f>
        <v>8.6E-3</v>
      </c>
      <c r="Q6" s="133">
        <f>'840-Car Dealership New (ITE)'!C7</f>
        <v>1.2200000000000001E-2</v>
      </c>
      <c r="R6" s="216">
        <f>'850-Supermarket (ITE)'!C7</f>
        <v>5.8999999999999999E-3</v>
      </c>
      <c r="S6" s="133">
        <f>'857 - Discount Club (ITE)'!C7</f>
        <v>8.9999999999999993E-3</v>
      </c>
      <c r="T6" s="216">
        <f>'862-Home Improvement (ITE)'!C7</f>
        <v>1.6300000000000002E-2</v>
      </c>
      <c r="U6" s="216">
        <f>'875-Department Store (ITE)'!C7</f>
        <v>8.9999999999999993E-3</v>
      </c>
      <c r="V6" s="133">
        <f>'932 - HTSD Restaurant (ITE)'!C7</f>
        <v>1.7500000000000002E-2</v>
      </c>
      <c r="W6" s="133">
        <f>'934 - Fast-Food w Drive (ITE)'!C7</f>
        <v>2.2700000000000001E-2</v>
      </c>
      <c r="X6" s="216">
        <f>'945-Gas Station 2-4k (ITE)'!C7</f>
        <v>4.6900000000000004E-2</v>
      </c>
      <c r="Y6" s="216">
        <f>'945-Gas Station 4-10k (ITE)'!C7</f>
        <v>4.6900000000000004E-2</v>
      </c>
      <c r="Z6" s="216" t="s">
        <v>165</v>
      </c>
    </row>
    <row r="7" spans="1:26" x14ac:dyDescent="0.2">
      <c r="A7" s="129" t="s">
        <v>27</v>
      </c>
      <c r="B7" s="214">
        <f>'110-Light Industrial (ITE)'!C8</f>
        <v>0.1804</v>
      </c>
      <c r="C7" s="214">
        <f>'140-Manufacturing (ITE)'!C8</f>
        <v>0.13739999999999999</v>
      </c>
      <c r="D7" s="215">
        <f>'154 - High-Cube Warehouse (ITE)'!C8</f>
        <v>7.3200000000000001E-2</v>
      </c>
      <c r="E7" s="216">
        <f>'210-Single Family (ITE)'!C8</f>
        <v>3.0700000000000002E-2</v>
      </c>
      <c r="F7" s="216">
        <f>'220-MultiFam HousingLR (ITE)'!C8</f>
        <v>2.0400000000000001E-2</v>
      </c>
      <c r="G7" s="133">
        <f>'430 - Golf Course (ITE)'!C8</f>
        <v>6.3E-2</v>
      </c>
      <c r="H7" s="216" t="s">
        <v>165</v>
      </c>
      <c r="I7" s="216">
        <f>'495-Rec. Center (ITE)'!C8</f>
        <v>5.7200000000000001E-2</v>
      </c>
      <c r="J7" s="216">
        <f>'525-High School (ITE)'!C8</f>
        <v>0.313</v>
      </c>
      <c r="K7" s="133">
        <f>'565 - Day Care (ITE)'!C8</f>
        <v>0.19520000000000001</v>
      </c>
      <c r="L7" s="216">
        <f>'710-General Office (ITE)'!C8</f>
        <v>0.1358</v>
      </c>
      <c r="M7" s="216" t="s">
        <v>165</v>
      </c>
      <c r="N7" s="133">
        <f>'813 - Discount Superstore (ITE)'!C8</f>
        <v>1.84E-2</v>
      </c>
      <c r="O7" s="133">
        <f>'815 - Discount Store (ITE)'!C8</f>
        <v>1.8000000000000002E-2</v>
      </c>
      <c r="P7" s="133">
        <f>'820 - Shopping Center (ITE)'!C8</f>
        <v>1.95E-2</v>
      </c>
      <c r="Q7" s="133">
        <f>'840-Car Dealership New (ITE)'!C8</f>
        <v>8.9800000000000005E-2</v>
      </c>
      <c r="R7" s="216">
        <f>'850-Supermarket (ITE)'!C8</f>
        <v>1.5300000000000001E-2</v>
      </c>
      <c r="S7" s="133">
        <f>'857 - Discount Club (ITE)'!C8</f>
        <v>1.0999999999999999E-2</v>
      </c>
      <c r="T7" s="216">
        <f>'862-Home Improvement (ITE)'!C8</f>
        <v>4.2300000000000004E-2</v>
      </c>
      <c r="U7" s="216">
        <f>'875-Department Store (ITE)'!C8</f>
        <v>2.1000000000000001E-2</v>
      </c>
      <c r="V7" s="133">
        <f>'932 - HTSD Restaurant (ITE)'!C8</f>
        <v>2.75E-2</v>
      </c>
      <c r="W7" s="133">
        <f>'934 - Fast-Food w Drive (ITE)'!C8</f>
        <v>3.39E-2</v>
      </c>
      <c r="X7" s="216">
        <f>'945-Gas Station 2-4k (ITE)'!C8</f>
        <v>6.1900000000000004E-2</v>
      </c>
      <c r="Y7" s="216">
        <f>'945-Gas Station 4-10k (ITE)'!C8</f>
        <v>5.9900000000000002E-2</v>
      </c>
      <c r="Z7" s="216" t="s">
        <v>165</v>
      </c>
    </row>
    <row r="8" spans="1:26" x14ac:dyDescent="0.2">
      <c r="A8" s="129" t="s">
        <v>28</v>
      </c>
      <c r="B8" s="214">
        <f>'110-Light Industrial (ITE)'!C9</f>
        <v>0.1082</v>
      </c>
      <c r="C8" s="214">
        <f>'140-Manufacturing (ITE)'!C9</f>
        <v>6.2E-2</v>
      </c>
      <c r="D8" s="215">
        <f>'154 - High-Cube Warehouse (ITE)'!C9</f>
        <v>5.1200000000000002E-2</v>
      </c>
      <c r="E8" s="216">
        <f>'210-Single Family (ITE)'!C9</f>
        <v>3.7700000000000004E-2</v>
      </c>
      <c r="F8" s="216">
        <f>'220-MultiFam HousingLR (ITE)'!C9</f>
        <v>3.15E-2</v>
      </c>
      <c r="G8" s="133">
        <f>'430 - Golf Course (ITE)'!C9</f>
        <v>7.3999999999999996E-2</v>
      </c>
      <c r="H8" s="216" t="s">
        <v>165</v>
      </c>
      <c r="I8" s="216">
        <f>'495-Rec. Center (ITE)'!C9</f>
        <v>8.8700000000000001E-2</v>
      </c>
      <c r="J8" s="216">
        <f>'525-High School (ITE)'!C9</f>
        <v>8.9200000000000002E-2</v>
      </c>
      <c r="K8" s="133">
        <f>'565 - Day Care (ITE)'!C9</f>
        <v>0.1323</v>
      </c>
      <c r="L8" s="216">
        <f>'710-General Office (ITE)'!C9</f>
        <v>0.1429</v>
      </c>
      <c r="M8" s="216" t="s">
        <v>165</v>
      </c>
      <c r="N8" s="133">
        <f>'813 - Discount Superstore (ITE)'!C9</f>
        <v>3.2300000000000002E-2</v>
      </c>
      <c r="O8" s="133">
        <f>'815 - Discount Store (ITE)'!C9</f>
        <v>2.8800000000000003E-2</v>
      </c>
      <c r="P8" s="133">
        <f>'820 - Shopping Center (ITE)'!C9</f>
        <v>2.9500000000000002E-2</v>
      </c>
      <c r="Q8" s="133">
        <f>'840-Car Dealership New (ITE)'!C9</f>
        <v>0.113</v>
      </c>
      <c r="R8" s="216">
        <f>'850-Supermarket (ITE)'!C9</f>
        <v>4.3300000000000005E-2</v>
      </c>
      <c r="S8" s="133">
        <f>'857 - Discount Club (ITE)'!C9</f>
        <v>1.0999999999999999E-2</v>
      </c>
      <c r="T8" s="216">
        <f>'862-Home Improvement (ITE)'!C9</f>
        <v>6.2600000000000003E-2</v>
      </c>
      <c r="U8" s="216">
        <f>'875-Department Store (ITE)'!C9</f>
        <v>2.9000000000000001E-2</v>
      </c>
      <c r="V8" s="133">
        <f>'932 - HTSD Restaurant (ITE)'!C9</f>
        <v>3.3800000000000004E-2</v>
      </c>
      <c r="W8" s="133">
        <f>'934 - Fast-Food w Drive (ITE)'!C9</f>
        <v>3.49E-2</v>
      </c>
      <c r="X8" s="216">
        <f>'945-Gas Station 2-4k (ITE)'!C9</f>
        <v>5.8100000000000006E-2</v>
      </c>
      <c r="Y8" s="216">
        <f>'945-Gas Station 4-10k (ITE)'!C9</f>
        <v>6.5299999999999997E-2</v>
      </c>
      <c r="Z8" s="216" t="s">
        <v>165</v>
      </c>
    </row>
    <row r="9" spans="1:26" x14ac:dyDescent="0.2">
      <c r="A9" s="129" t="s">
        <v>29</v>
      </c>
      <c r="B9" s="214">
        <f>'110-Light Industrial (ITE)'!C10</f>
        <v>7.3099999999999998E-2</v>
      </c>
      <c r="C9" s="214">
        <f>'140-Manufacturing (ITE)'!C10</f>
        <v>3.8900000000000004E-2</v>
      </c>
      <c r="D9" s="215">
        <f>'154 - High-Cube Warehouse (ITE)'!C10</f>
        <v>0.1177</v>
      </c>
      <c r="E9" s="216">
        <f>'210-Single Family (ITE)'!C10</f>
        <v>3.3500000000000002E-2</v>
      </c>
      <c r="F9" s="216">
        <f>'220-MultiFam HousingLR (ITE)'!C10</f>
        <v>2.8500000000000001E-2</v>
      </c>
      <c r="G9" s="133">
        <f>'430 - Golf Course (ITE)'!C10</f>
        <v>9.5000000000000001E-2</v>
      </c>
      <c r="H9" s="216" t="s">
        <v>165</v>
      </c>
      <c r="I9" s="216">
        <f>'495-Rec. Center (ITE)'!C10</f>
        <v>6.8900000000000003E-2</v>
      </c>
      <c r="J9" s="216">
        <f>'525-High School (ITE)'!C10</f>
        <v>2.4300000000000002E-2</v>
      </c>
      <c r="K9" s="133">
        <f>'565 - Day Care (ITE)'!C10</f>
        <v>5.3999999999999999E-2</v>
      </c>
      <c r="L9" s="216">
        <f>'710-General Office (ITE)'!C10</f>
        <v>6.2600000000000003E-2</v>
      </c>
      <c r="M9" s="216" t="s">
        <v>165</v>
      </c>
      <c r="N9" s="133">
        <f>'813 - Discount Superstore (ITE)'!C10</f>
        <v>5.7600000000000005E-2</v>
      </c>
      <c r="O9" s="133">
        <f>'815 - Discount Store (ITE)'!C10</f>
        <v>7.2800000000000004E-2</v>
      </c>
      <c r="P9" s="133">
        <f>'820 - Shopping Center (ITE)'!C10</f>
        <v>4.9500000000000002E-2</v>
      </c>
      <c r="Q9" s="133">
        <f>'840-Car Dealership New (ITE)'!C10</f>
        <v>8.0800000000000011E-2</v>
      </c>
      <c r="R9" s="216">
        <f>'850-Supermarket (ITE)'!C10</f>
        <v>5.0500000000000003E-2</v>
      </c>
      <c r="S9" s="133">
        <f>'857 - Discount Club (ITE)'!C10</f>
        <v>2.5999999999999999E-2</v>
      </c>
      <c r="T9" s="216">
        <f>'862-Home Improvement (ITE)'!C10</f>
        <v>7.1199999999999999E-2</v>
      </c>
      <c r="U9" s="216">
        <f>'875-Department Store (ITE)'!C10</f>
        <v>4.5999999999999999E-2</v>
      </c>
      <c r="V9" s="133">
        <f>'932 - HTSD Restaurant (ITE)'!C10</f>
        <v>4.02E-2</v>
      </c>
      <c r="W9" s="133">
        <f>'934 - Fast-Food w Drive (ITE)'!C10</f>
        <v>3.4099999999999998E-2</v>
      </c>
      <c r="X9" s="216">
        <f>'945-Gas Station 2-4k (ITE)'!C10</f>
        <v>5.0200000000000002E-2</v>
      </c>
      <c r="Y9" s="216">
        <f>'945-Gas Station 4-10k (ITE)'!C10</f>
        <v>5.6400000000000006E-2</v>
      </c>
      <c r="Z9" s="216" t="s">
        <v>165</v>
      </c>
    </row>
    <row r="10" spans="1:26" x14ac:dyDescent="0.2">
      <c r="A10" s="129" t="s">
        <v>30</v>
      </c>
      <c r="B10" s="214">
        <f>'110-Light Industrial (ITE)'!C11</f>
        <v>7.7200000000000005E-2</v>
      </c>
      <c r="C10" s="214">
        <f>'140-Manufacturing (ITE)'!C11</f>
        <v>3.3500000000000002E-2</v>
      </c>
      <c r="D10" s="215">
        <f>'154 - High-Cube Warehouse (ITE)'!C11</f>
        <v>9.4700000000000006E-2</v>
      </c>
      <c r="E10" s="216">
        <f>'210-Single Family (ITE)'!C11</f>
        <v>4.2100000000000005E-2</v>
      </c>
      <c r="F10" s="216">
        <f>'220-MultiFam HousingLR (ITE)'!C11</f>
        <v>2.4200000000000003E-2</v>
      </c>
      <c r="G10" s="133">
        <f>'430 - Golf Course (ITE)'!C11</f>
        <v>8.3000000000000004E-2</v>
      </c>
      <c r="H10" s="216" t="s">
        <v>165</v>
      </c>
      <c r="I10" s="216">
        <f>'495-Rec. Center (ITE)'!C11</f>
        <v>6.1600000000000002E-2</v>
      </c>
      <c r="J10" s="216">
        <f>'525-High School (ITE)'!C11</f>
        <v>3.4800000000000005E-2</v>
      </c>
      <c r="K10" s="133">
        <f>'565 - Day Care (ITE)'!C11</f>
        <v>2.6000000000000002E-2</v>
      </c>
      <c r="L10" s="216">
        <f>'710-General Office (ITE)'!C11</f>
        <v>5.4800000000000001E-2</v>
      </c>
      <c r="M10" s="216" t="s">
        <v>165</v>
      </c>
      <c r="N10" s="133">
        <f>'813 - Discount Superstore (ITE)'!C11</f>
        <v>6.1000000000000006E-2</v>
      </c>
      <c r="O10" s="133">
        <f>'815 - Discount Store (ITE)'!C11</f>
        <v>8.6500000000000007E-2</v>
      </c>
      <c r="P10" s="133">
        <f>'820 - Shopping Center (ITE)'!C11</f>
        <v>7.0000000000000007E-2</v>
      </c>
      <c r="Q10" s="133">
        <f>'840-Car Dealership New (ITE)'!C11</f>
        <v>9.240000000000001E-2</v>
      </c>
      <c r="R10" s="216">
        <f>'850-Supermarket (ITE)'!C11</f>
        <v>6.4100000000000004E-2</v>
      </c>
      <c r="S10" s="133">
        <f>'857 - Discount Club (ITE)'!C11</f>
        <v>5.1999999999999998E-2</v>
      </c>
      <c r="T10" s="216">
        <f>'862-Home Improvement (ITE)'!C11</f>
        <v>7.7300000000000008E-2</v>
      </c>
      <c r="U10" s="216">
        <f>'875-Department Store (ITE)'!C11</f>
        <v>6.7000000000000004E-2</v>
      </c>
      <c r="V10" s="133">
        <f>'932 - HTSD Restaurant (ITE)'!C11</f>
        <v>5.45E-2</v>
      </c>
      <c r="W10" s="133">
        <f>'934 - Fast-Food w Drive (ITE)'!C11</f>
        <v>3.9900000000000005E-2</v>
      </c>
      <c r="X10" s="216">
        <f>'945-Gas Station 2-4k (ITE)'!C11</f>
        <v>5.16E-2</v>
      </c>
      <c r="Y10" s="216">
        <f>'945-Gas Station 4-10k (ITE)'!C11</f>
        <v>5.2900000000000003E-2</v>
      </c>
      <c r="Z10" s="216" t="s">
        <v>165</v>
      </c>
    </row>
    <row r="11" spans="1:26" x14ac:dyDescent="0.2">
      <c r="A11" s="129" t="s">
        <v>37</v>
      </c>
      <c r="B11" s="214">
        <f>'110-Light Industrial (ITE)'!C12</f>
        <v>6.5100000000000005E-2</v>
      </c>
      <c r="C11" s="214">
        <f>'140-Manufacturing (ITE)'!C12</f>
        <v>6.2700000000000006E-2</v>
      </c>
      <c r="D11" s="215">
        <f>'154 - High-Cube Warehouse (ITE)'!C12</f>
        <v>3.78E-2</v>
      </c>
      <c r="E11" s="216">
        <f>'210-Single Family (ITE)'!C12</f>
        <v>5.4200000000000005E-2</v>
      </c>
      <c r="F11" s="216">
        <f>'220-MultiFam HousingLR (ITE)'!C12</f>
        <v>3.8200000000000005E-2</v>
      </c>
      <c r="G11" s="133">
        <f>'430 - Golf Course (ITE)'!C12</f>
        <v>8.6999999999999994E-2</v>
      </c>
      <c r="H11" s="216" t="s">
        <v>165</v>
      </c>
      <c r="I11" s="216">
        <f>'495-Rec. Center (ITE)'!C12</f>
        <v>3.9600000000000003E-2</v>
      </c>
      <c r="J11" s="216">
        <f>'525-High School (ITE)'!C12</f>
        <v>3.0800000000000001E-2</v>
      </c>
      <c r="K11" s="133">
        <f>'565 - Day Care (ITE)'!C12</f>
        <v>2.6000000000000002E-2</v>
      </c>
      <c r="L11" s="216">
        <f>'710-General Office (ITE)'!C12</f>
        <v>6.0100000000000001E-2</v>
      </c>
      <c r="M11" s="216" t="s">
        <v>165</v>
      </c>
      <c r="N11" s="133">
        <f>'813 - Discount Superstore (ITE)'!C12</f>
        <v>8.1700000000000009E-2</v>
      </c>
      <c r="O11" s="133">
        <f>'815 - Discount Store (ITE)'!C12</f>
        <v>0.10060000000000001</v>
      </c>
      <c r="P11" s="133">
        <f>'820 - Shopping Center (ITE)'!C12</f>
        <v>8.4699999999999998E-2</v>
      </c>
      <c r="Q11" s="133">
        <f>'840-Car Dealership New (ITE)'!C12</f>
        <v>8.610000000000001E-2</v>
      </c>
      <c r="R11" s="216">
        <f>'850-Supermarket (ITE)'!C12</f>
        <v>7.4499999999999997E-2</v>
      </c>
      <c r="S11" s="133">
        <f>'857 - Discount Club (ITE)'!C12</f>
        <v>8.5000000000000006E-2</v>
      </c>
      <c r="T11" s="216">
        <f>'862-Home Improvement (ITE)'!C12</f>
        <v>8.6300000000000002E-2</v>
      </c>
      <c r="U11" s="216">
        <f>'875-Department Store (ITE)'!C12</f>
        <v>0.09</v>
      </c>
      <c r="V11" s="133">
        <f>'932 - HTSD Restaurant (ITE)'!C12</f>
        <v>0.12130000000000001</v>
      </c>
      <c r="W11" s="133">
        <f>'934 - Fast-Food w Drive (ITE)'!C12</f>
        <v>9.1400000000000009E-2</v>
      </c>
      <c r="X11" s="216">
        <f>'945-Gas Station 2-4k (ITE)'!C12</f>
        <v>5.3400000000000003E-2</v>
      </c>
      <c r="Y11" s="216">
        <f>'945-Gas Station 4-10k (ITE)'!C12</f>
        <v>5.8400000000000001E-2</v>
      </c>
      <c r="Z11" s="216" t="s">
        <v>165</v>
      </c>
    </row>
    <row r="12" spans="1:26" x14ac:dyDescent="0.2">
      <c r="A12" s="129" t="s">
        <v>31</v>
      </c>
      <c r="B12" s="214">
        <f>'110-Light Industrial (ITE)'!C13</f>
        <v>9.0200000000000002E-2</v>
      </c>
      <c r="C12" s="214">
        <f>'140-Manufacturing (ITE)'!C13</f>
        <v>8.9400000000000007E-2</v>
      </c>
      <c r="D12" s="215">
        <f>'154 - High-Cube Warehouse (ITE)'!C13</f>
        <v>5.0599999999999999E-2</v>
      </c>
      <c r="E12" s="216">
        <f>'210-Single Family (ITE)'!C13</f>
        <v>5.74E-2</v>
      </c>
      <c r="F12" s="216">
        <f>'220-MultiFam HousingLR (ITE)'!C13</f>
        <v>4.5200000000000004E-2</v>
      </c>
      <c r="G12" s="133">
        <f>'430 - Golf Course (ITE)'!C13</f>
        <v>0.10199999999999999</v>
      </c>
      <c r="H12" s="216" t="s">
        <v>165</v>
      </c>
      <c r="I12" s="216">
        <f>'495-Rec. Center (ITE)'!C13</f>
        <v>4.9100000000000005E-2</v>
      </c>
      <c r="J12" s="216">
        <f>'525-High School (ITE)'!C13</f>
        <v>3.4099999999999998E-2</v>
      </c>
      <c r="K12" s="133">
        <f>'565 - Day Care (ITE)'!C13</f>
        <v>2.1000000000000001E-2</v>
      </c>
      <c r="L12" s="216">
        <f>'710-General Office (ITE)'!C13</f>
        <v>0.10210000000000001</v>
      </c>
      <c r="M12" s="216" t="s">
        <v>165</v>
      </c>
      <c r="N12" s="133">
        <f>'813 - Discount Superstore (ITE)'!C13</f>
        <v>8.5699999999999998E-2</v>
      </c>
      <c r="O12" s="133">
        <f>'815 - Discount Store (ITE)'!C13</f>
        <v>9.9600000000000008E-2</v>
      </c>
      <c r="P12" s="133">
        <f>'820 - Shopping Center (ITE)'!C13</f>
        <v>9.6300000000000011E-2</v>
      </c>
      <c r="Q12" s="133">
        <f>'840-Car Dealership New (ITE)'!C13</f>
        <v>8.5100000000000009E-2</v>
      </c>
      <c r="R12" s="216">
        <f>'850-Supermarket (ITE)'!C13</f>
        <v>9.2499999999999999E-2</v>
      </c>
      <c r="S12" s="133">
        <f>'857 - Discount Club (ITE)'!C13</f>
        <v>0.114</v>
      </c>
      <c r="T12" s="216">
        <f>'862-Home Improvement (ITE)'!C13</f>
        <v>9.0300000000000005E-2</v>
      </c>
      <c r="U12" s="216">
        <f>'875-Department Store (ITE)'!C13</f>
        <v>0.10100000000000001</v>
      </c>
      <c r="V12" s="133">
        <f>'932 - HTSD Restaurant (ITE)'!C13</f>
        <v>0.124</v>
      </c>
      <c r="W12" s="133">
        <f>'934 - Fast-Food w Drive (ITE)'!C13</f>
        <v>0.11900000000000001</v>
      </c>
      <c r="X12" s="216">
        <f>'945-Gas Station 2-4k (ITE)'!C13</f>
        <v>5.7600000000000005E-2</v>
      </c>
      <c r="Y12" s="216">
        <f>'945-Gas Station 4-10k (ITE)'!C13</f>
        <v>6.6100000000000006E-2</v>
      </c>
      <c r="Z12" s="216" t="s">
        <v>165</v>
      </c>
    </row>
    <row r="13" spans="1:26" x14ac:dyDescent="0.2">
      <c r="A13" s="129" t="s">
        <v>32</v>
      </c>
      <c r="B13" s="214">
        <f>'110-Light Industrial (ITE)'!C14</f>
        <v>8.5199999999999998E-2</v>
      </c>
      <c r="C13" s="214">
        <f>'140-Manufacturing (ITE)'!C14</f>
        <v>6.7400000000000002E-2</v>
      </c>
      <c r="D13" s="215">
        <f>'154 - High-Cube Warehouse (ITE)'!C14</f>
        <v>5.9300000000000005E-2</v>
      </c>
      <c r="E13" s="216">
        <f>'210-Single Family (ITE)'!C14</f>
        <v>6.1200000000000004E-2</v>
      </c>
      <c r="F13" s="216">
        <f>'220-MultiFam HousingLR (ITE)'!C14</f>
        <v>3.9600000000000003E-2</v>
      </c>
      <c r="G13" s="133">
        <f>'430 - Golf Course (ITE)'!C14</f>
        <v>8.2000000000000003E-2</v>
      </c>
      <c r="H13" s="216" t="s">
        <v>165</v>
      </c>
      <c r="I13" s="216">
        <f>'495-Rec. Center (ITE)'!C14</f>
        <v>2.2000000000000002E-2</v>
      </c>
      <c r="J13" s="216">
        <f>'525-High School (ITE)'!C14</f>
        <v>4.0600000000000004E-2</v>
      </c>
      <c r="K13" s="133">
        <f>'565 - Day Care (ITE)'!C14</f>
        <v>3.04E-2</v>
      </c>
      <c r="L13" s="216">
        <f>'710-General Office (ITE)'!C14</f>
        <v>8.9800000000000005E-2</v>
      </c>
      <c r="M13" s="216" t="s">
        <v>165</v>
      </c>
      <c r="N13" s="133">
        <f>'813 - Discount Superstore (ITE)'!C14</f>
        <v>8.2100000000000006E-2</v>
      </c>
      <c r="O13" s="133">
        <f>'815 - Discount Store (ITE)'!C14</f>
        <v>0.11040000000000001</v>
      </c>
      <c r="P13" s="133">
        <f>'820 - Shopping Center (ITE)'!C14</f>
        <v>8.6900000000000005E-2</v>
      </c>
      <c r="Q13" s="133">
        <f>'840-Car Dealership New (ITE)'!C14</f>
        <v>9.5100000000000004E-2</v>
      </c>
      <c r="R13" s="216">
        <f>'850-Supermarket (ITE)'!C14</f>
        <v>8.660000000000001E-2</v>
      </c>
      <c r="S13" s="133">
        <f>'857 - Discount Club (ITE)'!C14</f>
        <v>0.104</v>
      </c>
      <c r="T13" s="216">
        <f>'862-Home Improvement (ITE)'!C14</f>
        <v>8.3400000000000002E-2</v>
      </c>
      <c r="U13" s="216">
        <f>'875-Department Store (ITE)'!C14</f>
        <v>9.4E-2</v>
      </c>
      <c r="V13" s="133">
        <f>'932 - HTSD Restaurant (ITE)'!C14</f>
        <v>6.4500000000000002E-2</v>
      </c>
      <c r="W13" s="133">
        <f>'934 - Fast-Food w Drive (ITE)'!C14</f>
        <v>7.8899999999999998E-2</v>
      </c>
      <c r="X13" s="216">
        <f>'945-Gas Station 2-4k (ITE)'!C14</f>
        <v>5.3999999999999999E-2</v>
      </c>
      <c r="Y13" s="216">
        <f>'945-Gas Station 4-10k (ITE)'!C14</f>
        <v>6.1700000000000005E-2</v>
      </c>
      <c r="Z13" s="216" t="s">
        <v>165</v>
      </c>
    </row>
    <row r="14" spans="1:26" x14ac:dyDescent="0.2">
      <c r="A14" s="129" t="s">
        <v>33</v>
      </c>
      <c r="B14" s="214">
        <f>'110-Light Industrial (ITE)'!C15</f>
        <v>7.3099999999999998E-2</v>
      </c>
      <c r="C14" s="214">
        <f>'140-Manufacturing (ITE)'!C15</f>
        <v>5.1300000000000005E-2</v>
      </c>
      <c r="D14" s="215">
        <f>'154 - High-Cube Warehouse (ITE)'!C15</f>
        <v>6.0000000000000005E-2</v>
      </c>
      <c r="E14" s="216">
        <f>'210-Single Family (ITE)'!C15</f>
        <v>7.1199999999999999E-2</v>
      </c>
      <c r="F14" s="216">
        <f>'220-MultiFam HousingLR (ITE)'!C15</f>
        <v>5.62E-2</v>
      </c>
      <c r="G14" s="133">
        <f>'430 - Golf Course (ITE)'!C15</f>
        <v>6.5000000000000002E-2</v>
      </c>
      <c r="H14" s="216" t="s">
        <v>165</v>
      </c>
      <c r="I14" s="216">
        <f>'495-Rec. Center (ITE)'!C15</f>
        <v>3.15E-2</v>
      </c>
      <c r="J14" s="216">
        <f>'525-High School (ITE)'!C15</f>
        <v>5.9200000000000003E-2</v>
      </c>
      <c r="K14" s="133">
        <f>'565 - Day Care (ITE)'!C15</f>
        <v>4.1000000000000002E-2</v>
      </c>
      <c r="L14" s="216">
        <f>'710-General Office (ITE)'!C15</f>
        <v>8.2600000000000007E-2</v>
      </c>
      <c r="M14" s="216" t="s">
        <v>165</v>
      </c>
      <c r="N14" s="133">
        <f>'813 - Discount Superstore (ITE)'!C15</f>
        <v>8.3900000000000002E-2</v>
      </c>
      <c r="O14" s="133">
        <f>'815 - Discount Store (ITE)'!C15</f>
        <v>0.1009</v>
      </c>
      <c r="P14" s="133">
        <f>'820 - Shopping Center (ITE)'!C15</f>
        <v>7.8200000000000006E-2</v>
      </c>
      <c r="Q14" s="133">
        <f>'840-Car Dealership New (ITE)'!C15</f>
        <v>9.0900000000000009E-2</v>
      </c>
      <c r="R14" s="216">
        <f>'850-Supermarket (ITE)'!C15</f>
        <v>8.7500000000000008E-2</v>
      </c>
      <c r="S14" s="133">
        <f>'857 - Discount Club (ITE)'!C15</f>
        <v>0.09</v>
      </c>
      <c r="T14" s="216">
        <f>'862-Home Improvement (ITE)'!C15</f>
        <v>6.9900000000000004E-2</v>
      </c>
      <c r="U14" s="216">
        <f>'875-Department Store (ITE)'!C15</f>
        <v>7.8E-2</v>
      </c>
      <c r="V14" s="133">
        <f>'932 - HTSD Restaurant (ITE)'!C15</f>
        <v>0.04</v>
      </c>
      <c r="W14" s="133">
        <f>'934 - Fast-Food w Drive (ITE)'!C15</f>
        <v>5.8700000000000002E-2</v>
      </c>
      <c r="X14" s="216">
        <f>'945-Gas Station 2-4k (ITE)'!C15</f>
        <v>6.0600000000000001E-2</v>
      </c>
      <c r="Y14" s="216">
        <f>'945-Gas Station 4-10k (ITE)'!C15</f>
        <v>6.0200000000000004E-2</v>
      </c>
      <c r="Z14" s="216" t="s">
        <v>165</v>
      </c>
    </row>
    <row r="15" spans="1:26" x14ac:dyDescent="0.2">
      <c r="A15" s="129" t="s">
        <v>34</v>
      </c>
      <c r="B15" s="214">
        <f>'110-Light Industrial (ITE)'!C16</f>
        <v>6.0100000000000001E-2</v>
      </c>
      <c r="C15" s="214">
        <f>'140-Manufacturing (ITE)'!C16</f>
        <v>9.3600000000000003E-2</v>
      </c>
      <c r="D15" s="215">
        <f>'154 - High-Cube Warehouse (ITE)'!C16</f>
        <v>5.33E-2</v>
      </c>
      <c r="E15" s="216">
        <f>'210-Single Family (ITE)'!C16</f>
        <v>8.7000000000000008E-2</v>
      </c>
      <c r="F15" s="216">
        <f>'220-MultiFam HousingLR (ITE)'!C16</f>
        <v>6.93E-2</v>
      </c>
      <c r="G15" s="133">
        <f>'430 - Golf Course (ITE)'!C16</f>
        <v>7.0999999999999994E-2</v>
      </c>
      <c r="H15" s="216" t="s">
        <v>165</v>
      </c>
      <c r="I15" s="216">
        <f>'495-Rec. Center (ITE)'!C16</f>
        <v>5.28E-2</v>
      </c>
      <c r="J15" s="216">
        <f>'525-High School (ITE)'!C16</f>
        <v>9.0300000000000005E-2</v>
      </c>
      <c r="K15" s="133">
        <f>'565 - Day Care (ITE)'!C16</f>
        <v>7.4700000000000003E-2</v>
      </c>
      <c r="L15" s="216">
        <f>'710-General Office (ITE)'!C16</f>
        <v>7.3099999999999998E-2</v>
      </c>
      <c r="M15" s="216" t="s">
        <v>165</v>
      </c>
      <c r="N15" s="133">
        <f>'813 - Discount Superstore (ITE)'!C16</f>
        <v>8.1799999999999998E-2</v>
      </c>
      <c r="O15" s="133">
        <f>'815 - Discount Store (ITE)'!C16</f>
        <v>9.4700000000000006E-2</v>
      </c>
      <c r="P15" s="133">
        <f>'820 - Shopping Center (ITE)'!C16</f>
        <v>8.0700000000000008E-2</v>
      </c>
      <c r="Q15" s="133">
        <f>'840-Car Dealership New (ITE)'!C16</f>
        <v>6.8699999999999997E-2</v>
      </c>
      <c r="R15" s="216">
        <f>'850-Supermarket (ITE)'!C16</f>
        <v>8.8900000000000007E-2</v>
      </c>
      <c r="S15" s="133">
        <f>'857 - Discount Club (ITE)'!C16</f>
        <v>8.2000000000000003E-2</v>
      </c>
      <c r="T15" s="216">
        <f>'862-Home Improvement (ITE)'!C16</f>
        <v>7.5600000000000001E-2</v>
      </c>
      <c r="U15" s="216">
        <f>'875-Department Store (ITE)'!C16</f>
        <v>7.5999999999999998E-2</v>
      </c>
      <c r="V15" s="133">
        <f>'932 - HTSD Restaurant (ITE)'!C16</f>
        <v>3.3000000000000002E-2</v>
      </c>
      <c r="W15" s="133">
        <f>'934 - Fast-Food w Drive (ITE)'!C16</f>
        <v>5.67E-2</v>
      </c>
      <c r="X15" s="216">
        <f>'945-Gas Station 2-4k (ITE)'!C16</f>
        <v>6.4899999999999999E-2</v>
      </c>
      <c r="Y15" s="216">
        <f>'945-Gas Station 4-10k (ITE)'!C16</f>
        <v>6.7900000000000002E-2</v>
      </c>
      <c r="Z15" s="216" t="s">
        <v>165</v>
      </c>
    </row>
    <row r="16" spans="1:26" x14ac:dyDescent="0.2">
      <c r="A16" s="129" t="s">
        <v>35</v>
      </c>
      <c r="B16" s="214">
        <f>'110-Light Industrial (ITE)'!C17</f>
        <v>4.1100000000000005E-2</v>
      </c>
      <c r="C16" s="214">
        <f>'140-Manufacturing (ITE)'!C17</f>
        <v>3.4200000000000001E-2</v>
      </c>
      <c r="D16" s="215">
        <f>'154 - High-Cube Warehouse (ITE)'!C17</f>
        <v>3.1E-2</v>
      </c>
      <c r="E16" s="216">
        <f>'210-Single Family (ITE)'!C17</f>
        <v>0.1052</v>
      </c>
      <c r="F16" s="216">
        <f>'220-MultiFam HousingLR (ITE)'!C17</f>
        <v>0.1012</v>
      </c>
      <c r="G16" s="133">
        <f>'430 - Golf Course (ITE)'!C17</f>
        <v>7.1999999999999995E-2</v>
      </c>
      <c r="H16" s="216" t="s">
        <v>165</v>
      </c>
      <c r="I16" s="216">
        <f>'495-Rec. Center (ITE)'!C17</f>
        <v>8.5000000000000006E-2</v>
      </c>
      <c r="J16" s="216">
        <f>'525-High School (ITE)'!C17</f>
        <v>6.25E-2</v>
      </c>
      <c r="K16" s="133">
        <f>'565 - Day Care (ITE)'!C17</f>
        <v>0.13589999999999999</v>
      </c>
      <c r="L16" s="216">
        <f>'710-General Office (ITE)'!C17</f>
        <v>5.3900000000000003E-2</v>
      </c>
      <c r="M16" s="216" t="s">
        <v>165</v>
      </c>
      <c r="N16" s="133">
        <f>'813 - Discount Superstore (ITE)'!C17</f>
        <v>8.2600000000000007E-2</v>
      </c>
      <c r="O16" s="133">
        <f>'815 - Discount Store (ITE)'!C17</f>
        <v>8.7400000000000005E-2</v>
      </c>
      <c r="P16" s="133">
        <f>'820 - Shopping Center (ITE)'!C17</f>
        <v>8.5699999999999998E-2</v>
      </c>
      <c r="Q16" s="133">
        <f>'840-Car Dealership New (ITE)'!C17</f>
        <v>7.3400000000000007E-2</v>
      </c>
      <c r="R16" s="216">
        <f>'850-Supermarket (ITE)'!C17</f>
        <v>9.7900000000000001E-2</v>
      </c>
      <c r="S16" s="133">
        <f>'857 - Discount Club (ITE)'!C17</f>
        <v>7.9000000000000001E-2</v>
      </c>
      <c r="T16" s="216">
        <f>'862-Home Improvement (ITE)'!C17</f>
        <v>6.8699999999999997E-2</v>
      </c>
      <c r="U16" s="216">
        <f>'875-Department Store (ITE)'!C17</f>
        <v>7.8E-2</v>
      </c>
      <c r="V16" s="133">
        <f>'932 - HTSD Restaurant (ITE)'!C17</f>
        <v>6.2300000000000001E-2</v>
      </c>
      <c r="W16" s="133">
        <f>'934 - Fast-Food w Drive (ITE)'!C17</f>
        <v>5.8700000000000002E-2</v>
      </c>
      <c r="X16" s="216">
        <f>'945-Gas Station 2-4k (ITE)'!C17</f>
        <v>7.2300000000000003E-2</v>
      </c>
      <c r="Y16" s="216">
        <f>'945-Gas Station 4-10k (ITE)'!C17</f>
        <v>6.3100000000000003E-2</v>
      </c>
      <c r="Z16" s="216" t="s">
        <v>165</v>
      </c>
    </row>
    <row r="17" spans="1:26" x14ac:dyDescent="0.2">
      <c r="A17" s="129" t="s">
        <v>36</v>
      </c>
      <c r="B17" s="214">
        <f>'110-Light Industrial (ITE)'!C18</f>
        <v>1.2E-2</v>
      </c>
      <c r="C17" s="214">
        <f>'140-Manufacturing (ITE)'!C18</f>
        <v>2.6000000000000002E-2</v>
      </c>
      <c r="D17" s="215">
        <f>'154 - High-Cube Warehouse (ITE)'!C18</f>
        <v>2.1899999999999999E-2</v>
      </c>
      <c r="E17" s="216">
        <f>'210-Single Family (ITE)'!C18</f>
        <v>0.10020000000000001</v>
      </c>
      <c r="F17" s="216">
        <f>'220-MultiFam HousingLR (ITE)'!C18</f>
        <v>0.11410000000000001</v>
      </c>
      <c r="G17" s="133">
        <f>'430 - Golf Course (ITE)'!C18</f>
        <v>5.7000000000000002E-2</v>
      </c>
      <c r="H17" s="216" t="s">
        <v>165</v>
      </c>
      <c r="I17" s="216">
        <f>'495-Rec. Center (ITE)'!C18</f>
        <v>0.15030000000000002</v>
      </c>
      <c r="J17" s="216">
        <f>'525-High School (ITE)'!C18</f>
        <v>8.1799999999999998E-2</v>
      </c>
      <c r="K17" s="133">
        <f>'565 - Day Care (ITE)'!C18</f>
        <v>0.1671</v>
      </c>
      <c r="L17" s="216">
        <f>'710-General Office (ITE)'!C18</f>
        <v>4.0300000000000002E-2</v>
      </c>
      <c r="M17" s="216" t="s">
        <v>165</v>
      </c>
      <c r="N17" s="133">
        <f>'813 - Discount Superstore (ITE)'!C18</f>
        <v>7.8600000000000003E-2</v>
      </c>
      <c r="O17" s="133">
        <f>'815 - Discount Store (ITE)'!C18</f>
        <v>7.010000000000001E-2</v>
      </c>
      <c r="P17" s="133">
        <f>'820 - Shopping Center (ITE)'!C18</f>
        <v>8.7500000000000008E-2</v>
      </c>
      <c r="Q17" s="133">
        <f>'840-Car Dealership New (ITE)'!C18</f>
        <v>6.3899999999999998E-2</v>
      </c>
      <c r="R17" s="216">
        <f>'850-Supermarket (ITE)'!C18</f>
        <v>9.4800000000000009E-2</v>
      </c>
      <c r="S17" s="133">
        <f>'857 - Discount Club (ITE)'!C18</f>
        <v>8.3000000000000004E-2</v>
      </c>
      <c r="T17" s="216">
        <f>'862-Home Improvement (ITE)'!C18</f>
        <v>6.3899999999999998E-2</v>
      </c>
      <c r="U17" s="216">
        <f>'875-Department Store (ITE)'!C18</f>
        <v>8.2000000000000003E-2</v>
      </c>
      <c r="V17" s="133">
        <f>'932 - HTSD Restaurant (ITE)'!C18</f>
        <v>0.10160000000000001</v>
      </c>
      <c r="W17" s="133">
        <f>'934 - Fast-Food w Drive (ITE)'!C18</f>
        <v>6.9400000000000003E-2</v>
      </c>
      <c r="X17" s="216">
        <f>'945-Gas Station 2-4k (ITE)'!C18</f>
        <v>6.9500000000000006E-2</v>
      </c>
      <c r="Y17" s="216">
        <f>'945-Gas Station 4-10k (ITE)'!C18</f>
        <v>6.720000000000001E-2</v>
      </c>
      <c r="Z17" s="216" t="s">
        <v>165</v>
      </c>
    </row>
    <row r="18" spans="1:26" x14ac:dyDescent="0.2">
      <c r="A18" s="204" t="s">
        <v>141</v>
      </c>
      <c r="B18" s="214">
        <f>'110-Light Industrial (ITE)'!C19</f>
        <v>1E-3</v>
      </c>
      <c r="C18" s="214">
        <f>'140-Manufacturing (ITE)'!C19</f>
        <v>1.2400000000000001E-2</v>
      </c>
      <c r="D18" s="215">
        <f>'154 - High-Cube Warehouse (ITE)'!C19</f>
        <v>2.6600000000000002E-2</v>
      </c>
      <c r="E18" s="216">
        <f>'210-Single Family (ITE)'!C19</f>
        <v>8.5300000000000001E-2</v>
      </c>
      <c r="F18" s="216">
        <f>'220-MultiFam HousingLR (ITE)'!C19</f>
        <v>9.74E-2</v>
      </c>
      <c r="G18" s="133">
        <f>'430 - Golf Course (ITE)'!C19</f>
        <v>0.04</v>
      </c>
      <c r="H18" s="216" t="s">
        <v>165</v>
      </c>
      <c r="I18" s="216">
        <f>'495-Rec. Center (ITE)'!C19</f>
        <v>8.3600000000000008E-2</v>
      </c>
      <c r="J18" s="216">
        <f>'525-High School (ITE)'!C19</f>
        <v>2.2700000000000001E-2</v>
      </c>
      <c r="K18" s="133">
        <f>'565 - Day Care (ITE)'!C19</f>
        <v>2.3599999999999999E-2</v>
      </c>
      <c r="L18" s="216">
        <f>'710-General Office (ITE)'!C19</f>
        <v>1.67E-2</v>
      </c>
      <c r="M18" s="216" t="s">
        <v>165</v>
      </c>
      <c r="N18" s="133">
        <f>'813 - Discount Superstore (ITE)'!C19</f>
        <v>7.1000000000000008E-2</v>
      </c>
      <c r="O18" s="133">
        <f>'815 - Discount Store (ITE)'!C19</f>
        <v>6.25E-2</v>
      </c>
      <c r="P18" s="133">
        <f>'820 - Shopping Center (ITE)'!C19</f>
        <v>7.6800000000000007E-2</v>
      </c>
      <c r="Q18" s="133">
        <f>'840-Car Dealership New (ITE)'!C19</f>
        <v>3.0600000000000002E-2</v>
      </c>
      <c r="R18" s="216">
        <f>'850-Supermarket (ITE)'!C19</f>
        <v>7.7600000000000002E-2</v>
      </c>
      <c r="S18" s="133">
        <f>'857 - Discount Club (ITE)'!C19</f>
        <v>0.10100000000000001</v>
      </c>
      <c r="T18" s="216">
        <f>'862-Home Improvement (ITE)'!C19</f>
        <v>6.2400000000000004E-2</v>
      </c>
      <c r="U18" s="216">
        <f>'875-Department Store (ITE)'!C19</f>
        <v>7.0999999999999994E-2</v>
      </c>
      <c r="V18" s="133">
        <f>'932 - HTSD Restaurant (ITE)'!C19</f>
        <v>0.10100000000000001</v>
      </c>
      <c r="W18" s="133">
        <f>'934 - Fast-Food w Drive (ITE)'!C19</f>
        <v>7.4099999999999999E-2</v>
      </c>
      <c r="X18" s="216">
        <f>'945-Gas Station 2-4k (ITE)'!C19</f>
        <v>6.4700000000000008E-2</v>
      </c>
      <c r="Y18" s="216">
        <f>'945-Gas Station 4-10k (ITE)'!C19</f>
        <v>5.28E-2</v>
      </c>
      <c r="Z18" s="216" t="s">
        <v>165</v>
      </c>
    </row>
    <row r="19" spans="1:26" x14ac:dyDescent="0.2">
      <c r="A19" s="205" t="s">
        <v>142</v>
      </c>
      <c r="B19" s="214">
        <f>'110-Light Industrial (ITE)'!C20</f>
        <v>0</v>
      </c>
      <c r="C19" s="214">
        <f>'140-Manufacturing (ITE)'!C20</f>
        <v>1.0800000000000001E-2</v>
      </c>
      <c r="D19" s="215">
        <f>'154 - High-Cube Warehouse (ITE)'!C20</f>
        <v>5.8300000000000005E-2</v>
      </c>
      <c r="E19" s="216">
        <f>'210-Single Family (ITE)'!C20</f>
        <v>6.0600000000000001E-2</v>
      </c>
      <c r="F19" s="216">
        <f>'220-MultiFam HousingLR (ITE)'!C20</f>
        <v>8.1000000000000003E-2</v>
      </c>
      <c r="G19" s="133">
        <f>'430 - Golf Course (ITE)'!C20</f>
        <v>2.9000000000000001E-2</v>
      </c>
      <c r="H19" s="216" t="s">
        <v>165</v>
      </c>
      <c r="I19" s="216">
        <f>'495-Rec. Center (ITE)'!C20</f>
        <v>7.6200000000000004E-2</v>
      </c>
      <c r="J19" s="216">
        <f>'525-High School (ITE)'!C20</f>
        <v>2.7000000000000001E-3</v>
      </c>
      <c r="K19" s="133">
        <f>'565 - Day Care (ITE)'!C20</f>
        <v>0</v>
      </c>
      <c r="L19" s="216">
        <f>'710-General Office (ITE)'!C20</f>
        <v>9.4000000000000004E-3</v>
      </c>
      <c r="M19" s="216" t="s">
        <v>165</v>
      </c>
      <c r="N19" s="133">
        <f>'813 - Discount Superstore (ITE)'!C20</f>
        <v>5.7100000000000005E-2</v>
      </c>
      <c r="O19" s="133">
        <f>'815 - Discount Store (ITE)'!C20</f>
        <v>4.5999999999999999E-2</v>
      </c>
      <c r="P19" s="133">
        <f>'820 - Shopping Center (ITE)'!C20</f>
        <v>6.54E-2</v>
      </c>
      <c r="Q19" s="133">
        <f>'840-Car Dealership New (ITE)'!C20</f>
        <v>1.8000000000000002E-2</v>
      </c>
      <c r="R19" s="216">
        <f>'850-Supermarket (ITE)'!C20</f>
        <v>5.6400000000000006E-2</v>
      </c>
      <c r="S19" s="133">
        <f>'857 - Discount Club (ITE)'!C20</f>
        <v>9.5000000000000001E-2</v>
      </c>
      <c r="T19" s="216">
        <f>'862-Home Improvement (ITE)'!C20</f>
        <v>6.0000000000000005E-2</v>
      </c>
      <c r="U19" s="216">
        <f>'875-Department Store (ITE)'!C20</f>
        <v>6.5000000000000002E-2</v>
      </c>
      <c r="V19" s="133">
        <f>'932 - HTSD Restaurant (ITE)'!C20</f>
        <v>7.1800000000000003E-2</v>
      </c>
      <c r="W19" s="133">
        <f>'934 - Fast-Food w Drive (ITE)'!C20</f>
        <v>6.3200000000000006E-2</v>
      </c>
      <c r="X19" s="216">
        <f>'945-Gas Station 2-4k (ITE)'!C20</f>
        <v>5.2700000000000004E-2</v>
      </c>
      <c r="Y19" s="216">
        <f>'945-Gas Station 4-10k (ITE)'!C20</f>
        <v>3.9300000000000002E-2</v>
      </c>
      <c r="Z19" s="216" t="s">
        <v>165</v>
      </c>
    </row>
    <row r="20" spans="1:26" x14ac:dyDescent="0.2">
      <c r="A20" s="205" t="s">
        <v>160</v>
      </c>
      <c r="B20" s="214">
        <f>'110-Light Industrial (ITE)'!C21</f>
        <v>0</v>
      </c>
      <c r="C20" s="214">
        <f>'140-Manufacturing (ITE)'!C21</f>
        <v>9.6000000000000009E-3</v>
      </c>
      <c r="D20" s="215">
        <f>'154 - High-Cube Warehouse (ITE)'!C21</f>
        <v>5.3900000000000003E-2</v>
      </c>
      <c r="E20" s="216">
        <f>'210-Single Family (ITE)'!C21</f>
        <v>6.13E-2</v>
      </c>
      <c r="F20" s="216">
        <f>'220-MultiFam HousingLR (ITE)'!C21</f>
        <v>7.6600000000000001E-2</v>
      </c>
      <c r="G20" s="133">
        <f>'430 - Golf Course (ITE)'!C21</f>
        <v>1.2E-2</v>
      </c>
      <c r="H20" s="216" t="s">
        <v>165</v>
      </c>
      <c r="I20" s="216">
        <f>'495-Rec. Center (ITE)'!C21</f>
        <v>3.15E-2</v>
      </c>
      <c r="J20" s="216">
        <f>'525-High School (ITE)'!C21</f>
        <v>0</v>
      </c>
      <c r="K20" s="133">
        <f>'565 - Day Care (ITE)'!C21</f>
        <v>0</v>
      </c>
      <c r="L20" s="216">
        <f>'710-General Office (ITE)'!C21</f>
        <v>6.8000000000000005E-3</v>
      </c>
      <c r="M20" s="216" t="s">
        <v>165</v>
      </c>
      <c r="N20" s="133">
        <f>'813 - Discount Superstore (ITE)'!C21</f>
        <v>4.5100000000000001E-2</v>
      </c>
      <c r="O20" s="133">
        <f>'815 - Discount Store (ITE)'!C21</f>
        <v>1.8600000000000002E-2</v>
      </c>
      <c r="P20" s="133">
        <f>'820 - Shopping Center (ITE)'!C21</f>
        <v>4.2700000000000002E-2</v>
      </c>
      <c r="Q20" s="133">
        <f>'840-Car Dealership New (ITE)'!C21</f>
        <v>0</v>
      </c>
      <c r="R20" s="216">
        <f>'850-Supermarket (ITE)'!C21</f>
        <v>3.7900000000000003E-2</v>
      </c>
      <c r="S20" s="133">
        <f>'857 - Discount Club (ITE)'!C21</f>
        <v>3.6999999999999998E-2</v>
      </c>
      <c r="T20" s="216">
        <f>'862-Home Improvement (ITE)'!C21</f>
        <v>5.0200000000000002E-2</v>
      </c>
      <c r="U20" s="216">
        <f>'875-Department Store (ITE)'!C21</f>
        <v>4.4999999999999998E-2</v>
      </c>
      <c r="V20" s="133">
        <f>'932 - HTSD Restaurant (ITE)'!C21</f>
        <v>4.2700000000000002E-2</v>
      </c>
      <c r="W20" s="133">
        <f>'934 - Fast-Food w Drive (ITE)'!C21</f>
        <v>5.6300000000000003E-2</v>
      </c>
      <c r="X20" s="216">
        <f>'945-Gas Station 2-4k (ITE)'!C21</f>
        <v>4.3000000000000003E-2</v>
      </c>
      <c r="Y20" s="216">
        <f>'945-Gas Station 4-10k (ITE)'!C21</f>
        <v>3.39E-2</v>
      </c>
      <c r="Z20" s="216" t="s">
        <v>165</v>
      </c>
    </row>
    <row r="21" spans="1:26" x14ac:dyDescent="0.2">
      <c r="A21" s="205" t="s">
        <v>161</v>
      </c>
      <c r="B21" s="214">
        <f>'110-Light Industrial (ITE)'!C22</f>
        <v>0</v>
      </c>
      <c r="C21" s="214">
        <f>'140-Manufacturing (ITE)'!C22</f>
        <v>1.1900000000000001E-2</v>
      </c>
      <c r="D21" s="215">
        <f>'154 - High-Cube Warehouse (ITE)'!C22</f>
        <v>6.4000000000000003E-3</v>
      </c>
      <c r="E21" s="216">
        <f>'210-Single Family (ITE)'!C22</f>
        <v>4.4200000000000003E-2</v>
      </c>
      <c r="F21" s="216">
        <f>'220-MultiFam HousingLR (ITE)'!C22</f>
        <v>6.0200000000000004E-2</v>
      </c>
      <c r="G21" s="133">
        <f>'430 - Golf Course (ITE)'!C22</f>
        <v>3.0000000000000001E-3</v>
      </c>
      <c r="H21" s="216" t="s">
        <v>165</v>
      </c>
      <c r="I21" s="216">
        <f>'495-Rec. Center (ITE)'!C22</f>
        <v>1.6900000000000002E-2</v>
      </c>
      <c r="J21" s="216">
        <f>'525-High School (ITE)'!C22</f>
        <v>6.9999999999999999E-4</v>
      </c>
      <c r="K21" s="133">
        <f>'565 - Day Care (ITE)'!C22</f>
        <v>0</v>
      </c>
      <c r="L21" s="216">
        <f>'710-General Office (ITE)'!C22</f>
        <v>5.4000000000000003E-3</v>
      </c>
      <c r="M21" s="216" t="s">
        <v>165</v>
      </c>
      <c r="N21" s="133">
        <f>'813 - Discount Superstore (ITE)'!C22</f>
        <v>3.4500000000000003E-2</v>
      </c>
      <c r="O21" s="133">
        <f>'815 - Discount Store (ITE)'!C22</f>
        <v>1.9E-3</v>
      </c>
      <c r="P21" s="133">
        <f>'820 - Shopping Center (ITE)'!C22</f>
        <v>1.8600000000000002E-2</v>
      </c>
      <c r="Q21" s="133">
        <f>'840-Car Dealership New (ITE)'!C22</f>
        <v>0</v>
      </c>
      <c r="R21" s="216">
        <f>'850-Supermarket (ITE)'!C22</f>
        <v>1.9E-2</v>
      </c>
      <c r="S21" s="133">
        <f>'857 - Discount Club (ITE)'!C22</f>
        <v>7.0000000000000001E-3</v>
      </c>
      <c r="T21" s="216">
        <f>'862-Home Improvement (ITE)'!C22</f>
        <v>2.3800000000000002E-2</v>
      </c>
      <c r="U21" s="216">
        <f>'875-Department Store (ITE)'!C22</f>
        <v>2.1000000000000001E-2</v>
      </c>
      <c r="V21" s="133">
        <f>'932 - HTSD Restaurant (ITE)'!C22</f>
        <v>2.6100000000000002E-2</v>
      </c>
      <c r="W21" s="133">
        <f>'934 - Fast-Food w Drive (ITE)'!C22</f>
        <v>4.1000000000000002E-2</v>
      </c>
      <c r="X21" s="216">
        <f>'945-Gas Station 2-4k (ITE)'!C22</f>
        <v>3.7100000000000001E-2</v>
      </c>
      <c r="Y21" s="216">
        <f>'945-Gas Station 4-10k (ITE)'!C22</f>
        <v>2.8000000000000001E-2</v>
      </c>
      <c r="Z21" s="216" t="s">
        <v>165</v>
      </c>
    </row>
    <row r="22" spans="1:26" x14ac:dyDescent="0.2">
      <c r="A22" s="204" t="s">
        <v>186</v>
      </c>
      <c r="B22" s="214">
        <f>'110-Light Industrial (ITE)'!C23</f>
        <v>6.1100000000000002E-2</v>
      </c>
      <c r="C22" s="214">
        <f>'140-Manufacturing (ITE)'!C23</f>
        <v>8.8000000000000009E-2</v>
      </c>
      <c r="D22" s="215">
        <f>'154 - High-Cube Warehouse (ITE)'!C23</f>
        <v>0.10150000000000001</v>
      </c>
      <c r="E22" s="216">
        <f>'210-Single Family (ITE)'!C23</f>
        <v>5.2900000000000003E-2</v>
      </c>
      <c r="F22" s="216">
        <f>'220-MultiFam HousingLR (ITE)'!C23</f>
        <v>0.10300000000000001</v>
      </c>
      <c r="G22" s="133">
        <f>'430 - Golf Course (ITE)'!C23</f>
        <v>1.7000000000000001E-2</v>
      </c>
      <c r="H22" s="216" t="s">
        <v>165</v>
      </c>
      <c r="I22" s="216">
        <f>'495-Rec. Center (ITE)'!C23</f>
        <v>4.99E-2</v>
      </c>
      <c r="J22" s="216">
        <f>'525-High School (ITE)'!C23</f>
        <v>9.4999999999999998E-3</v>
      </c>
      <c r="K22" s="133">
        <f>'565 - Day Care (ITE)'!C23</f>
        <v>1.0500000000000001E-2</v>
      </c>
      <c r="L22" s="216">
        <f>'710-General Office (ITE)'!C23</f>
        <v>1.6199999999999999E-2</v>
      </c>
      <c r="M22" s="216" t="s">
        <v>165</v>
      </c>
      <c r="N22" s="133">
        <f>'813 - Discount Superstore (ITE)'!C23</f>
        <v>3.2199999999999999E-2</v>
      </c>
      <c r="O22" s="133">
        <f>'815 - Discount Store (ITE)'!C23</f>
        <v>4.0000000000000002E-4</v>
      </c>
      <c r="P22" s="133">
        <f>'820 - Shopping Center (ITE)'!C23</f>
        <v>1.4400000000000001E-2</v>
      </c>
      <c r="Q22" s="133">
        <f>'840-Car Dealership New (ITE)'!C23</f>
        <v>0</v>
      </c>
      <c r="R22" s="216">
        <f>'850-Supermarket (ITE)'!C23</f>
        <v>7.2000000000000007E-3</v>
      </c>
      <c r="S22" s="133">
        <f>'857 - Discount Club (ITE)'!C23</f>
        <v>1.4E-2</v>
      </c>
      <c r="T22" s="267" t="s">
        <v>165</v>
      </c>
      <c r="U22" s="216">
        <f>'875-Department Store (ITE)'!C23</f>
        <v>2.7E-2</v>
      </c>
      <c r="V22" s="133">
        <f>'932 - HTSD Restaurant (ITE)'!C23</f>
        <v>3.8200000000000005E-2</v>
      </c>
      <c r="W22" s="133">
        <f>'934 - Fast-Food w Drive (ITE)'!C23</f>
        <v>6.720000000000001E-2</v>
      </c>
      <c r="X22" s="216">
        <f>'945-Gas Station 2-4k (ITE)'!C23</f>
        <v>0.10160000000000001</v>
      </c>
      <c r="Y22" s="216">
        <f>'945-Gas Station 4-10k (ITE)'!C23</f>
        <v>0.1202</v>
      </c>
      <c r="Z22" s="216" t="s">
        <v>165</v>
      </c>
    </row>
    <row r="23" spans="1:26" x14ac:dyDescent="0.2">
      <c r="B23" s="221"/>
    </row>
    <row r="24" spans="1:26" x14ac:dyDescent="0.2">
      <c r="B24" s="219" t="s">
        <v>39</v>
      </c>
      <c r="C24" s="219" t="s">
        <v>39</v>
      </c>
      <c r="D24" s="219" t="s">
        <v>39</v>
      </c>
      <c r="E24" s="219" t="s">
        <v>39</v>
      </c>
      <c r="F24" s="219" t="s">
        <v>39</v>
      </c>
      <c r="G24" s="219" t="s">
        <v>39</v>
      </c>
      <c r="H24" s="219" t="s">
        <v>39</v>
      </c>
      <c r="I24" s="219" t="s">
        <v>39</v>
      </c>
      <c r="J24" s="219" t="s">
        <v>39</v>
      </c>
      <c r="K24" s="219" t="s">
        <v>39</v>
      </c>
      <c r="L24" s="219" t="s">
        <v>39</v>
      </c>
      <c r="M24" s="219" t="s">
        <v>39</v>
      </c>
      <c r="N24" s="219" t="s">
        <v>39</v>
      </c>
      <c r="O24" s="219" t="s">
        <v>39</v>
      </c>
      <c r="P24" s="219" t="s">
        <v>39</v>
      </c>
      <c r="Q24" s="219" t="s">
        <v>39</v>
      </c>
      <c r="R24" s="219" t="s">
        <v>39</v>
      </c>
      <c r="S24" s="219" t="s">
        <v>39</v>
      </c>
      <c r="T24" s="219" t="s">
        <v>39</v>
      </c>
      <c r="U24" s="219" t="s">
        <v>39</v>
      </c>
      <c r="V24" s="219" t="s">
        <v>39</v>
      </c>
      <c r="W24" s="219" t="s">
        <v>39</v>
      </c>
      <c r="X24" s="219" t="s">
        <v>39</v>
      </c>
      <c r="Y24" s="219" t="s">
        <v>39</v>
      </c>
      <c r="Z24" s="219" t="s">
        <v>39</v>
      </c>
    </row>
    <row r="25" spans="1:26" x14ac:dyDescent="0.2">
      <c r="A25" s="129" t="s">
        <v>26</v>
      </c>
      <c r="B25" s="217">
        <f>'110-Light Industrial (ITE)'!D7</f>
        <v>7.0000000000000001E-3</v>
      </c>
      <c r="C25" s="217">
        <f>'140-Manufacturing (ITE)'!D7</f>
        <v>2.6500000000000003E-2</v>
      </c>
      <c r="D25" s="133">
        <f>'154 - High-Cube Warehouse (ITE)'!D7</f>
        <v>2.0800000000000003E-2</v>
      </c>
      <c r="E25" s="216">
        <f>'210-Single Family (ITE)'!D7</f>
        <v>5.8400000000000001E-2</v>
      </c>
      <c r="F25" s="216">
        <f>'220-MultiFam HousingLR (ITE)'!D7</f>
        <v>6.8840000000000012E-2</v>
      </c>
      <c r="G25" s="133">
        <f>'430 - Golf Course (ITE)'!D7</f>
        <v>5.0000000000000001E-3</v>
      </c>
      <c r="H25" s="216" t="s">
        <v>165</v>
      </c>
      <c r="I25" s="216">
        <f>'495-Rec. Center (ITE)'!D7</f>
        <v>4.24E-2</v>
      </c>
      <c r="J25" s="216">
        <f>'525-High School (ITE)'!D7</f>
        <v>4.58E-2</v>
      </c>
      <c r="K25" s="133">
        <f>'565 - Day Care (ITE)'!D7</f>
        <v>4.3300000000000005E-2</v>
      </c>
      <c r="L25" s="216">
        <f>'710-General Office (ITE)'!D7</f>
        <v>5.2000000000000006E-3</v>
      </c>
      <c r="M25" s="216" t="s">
        <v>165</v>
      </c>
      <c r="N25" s="133">
        <f>'813 - Discount Superstore (ITE)'!D7</f>
        <v>1.0200000000000001E-2</v>
      </c>
      <c r="O25" s="133">
        <f>'815 - Discount Store (ITE)'!D7</f>
        <v>4.0000000000000002E-4</v>
      </c>
      <c r="P25" s="133">
        <f>'820 - Shopping Center (ITE)'!D7</f>
        <v>4.8000000000000004E-3</v>
      </c>
      <c r="Q25" s="133">
        <f>'840-Car Dealership New (ITE)'!D7</f>
        <v>2.2000000000000001E-3</v>
      </c>
      <c r="R25" s="216">
        <f>'850-Supermarket (ITE)'!D7</f>
        <v>4.0000000000000002E-4</v>
      </c>
      <c r="S25" s="133">
        <f>'857 - Discount Club (ITE)'!D7</f>
        <v>3.0000000000000001E-3</v>
      </c>
      <c r="T25" s="216">
        <f>'862-Home Improvement (ITE)'!D7</f>
        <v>1.1900000000000001E-2</v>
      </c>
      <c r="U25" s="216">
        <f>'875-Department Store (ITE)'!D7</f>
        <v>8.0000000000000002E-3</v>
      </c>
      <c r="V25" s="133">
        <f>'932 - HTSD Restaurant (ITE)'!D7</f>
        <v>9.1000000000000004E-3</v>
      </c>
      <c r="W25" s="133">
        <f>'934 - Fast-Food w Drive (ITE)'!D7</f>
        <v>1.8700000000000001E-2</v>
      </c>
      <c r="X25" s="216">
        <f>'945-Gas Station 2-4k (ITE)'!D7</f>
        <v>4.5400000000000003E-2</v>
      </c>
      <c r="Y25" s="216">
        <f>'945-Gas Station 4-10k (ITE)'!D7</f>
        <v>4.4700000000000004E-2</v>
      </c>
      <c r="Z25" s="213" t="s">
        <v>165</v>
      </c>
    </row>
    <row r="26" spans="1:26" x14ac:dyDescent="0.2">
      <c r="A26" s="129" t="s">
        <v>27</v>
      </c>
      <c r="B26" s="217">
        <f>'110-Light Industrial (ITE)'!D8</f>
        <v>2.29E-2</v>
      </c>
      <c r="C26" s="217">
        <f>'140-Manufacturing (ITE)'!D8</f>
        <v>3.2500000000000001E-2</v>
      </c>
      <c r="D26" s="133">
        <f>'154 - High-Cube Warehouse (ITE)'!D8</f>
        <v>2.2800000000000001E-2</v>
      </c>
      <c r="E26" s="216">
        <f>'210-Single Family (ITE)'!D8</f>
        <v>9.9700000000000011E-2</v>
      </c>
      <c r="F26" s="216">
        <f>'220-MultiFam HousingLR (ITE)'!D8</f>
        <v>0.1081</v>
      </c>
      <c r="G26" s="133">
        <f>'430 - Golf Course (ITE)'!D8</f>
        <v>1.2999999999999999E-2</v>
      </c>
      <c r="H26" s="216" t="s">
        <v>165</v>
      </c>
      <c r="I26" s="216">
        <f>'495-Rec. Center (ITE)'!D8</f>
        <v>3.5099999999999999E-2</v>
      </c>
      <c r="J26" s="216">
        <f>'525-High School (ITE)'!D8</f>
        <v>0.13350000000000001</v>
      </c>
      <c r="K26" s="133">
        <f>'565 - Day Care (ITE)'!D8</f>
        <v>0.1633</v>
      </c>
      <c r="L26" s="216">
        <f>'710-General Office (ITE)'!D8</f>
        <v>1.9800000000000002E-2</v>
      </c>
      <c r="M26" s="216" t="s">
        <v>165</v>
      </c>
      <c r="N26" s="133">
        <f>'813 - Discount Superstore (ITE)'!D8</f>
        <v>1.6E-2</v>
      </c>
      <c r="O26" s="133">
        <f>'815 - Discount Store (ITE)'!D8</f>
        <v>6.7000000000000002E-3</v>
      </c>
      <c r="P26" s="133">
        <f>'820 - Shopping Center (ITE)'!D8</f>
        <v>1.2500000000000001E-2</v>
      </c>
      <c r="Q26" s="133">
        <f>'840-Car Dealership New (ITE)'!D8</f>
        <v>2.3300000000000001E-2</v>
      </c>
      <c r="R26" s="216">
        <f>'850-Supermarket (ITE)'!D8</f>
        <v>1.4400000000000001E-2</v>
      </c>
      <c r="S26" s="133">
        <f>'857 - Discount Club (ITE)'!D8</f>
        <v>6.0000000000000001E-3</v>
      </c>
      <c r="T26" s="216">
        <f>'862-Home Improvement (ITE)'!D8</f>
        <v>2.8500000000000001E-2</v>
      </c>
      <c r="U26" s="216">
        <f>'875-Department Store (ITE)'!D8</f>
        <v>1.2E-2</v>
      </c>
      <c r="V26" s="133">
        <f>'932 - HTSD Restaurant (ITE)'!D8</f>
        <v>1.8200000000000001E-2</v>
      </c>
      <c r="W26" s="133">
        <f>'934 - Fast-Food w Drive (ITE)'!D8</f>
        <v>3.1100000000000003E-2</v>
      </c>
      <c r="X26" s="216">
        <f>'945-Gas Station 2-4k (ITE)'!D8</f>
        <v>6.1500000000000006E-2</v>
      </c>
      <c r="Y26" s="216">
        <f>'945-Gas Station 4-10k (ITE)'!D8</f>
        <v>5.8600000000000006E-2</v>
      </c>
      <c r="Z26" s="213" t="s">
        <v>165</v>
      </c>
    </row>
    <row r="27" spans="1:26" x14ac:dyDescent="0.2">
      <c r="A27" s="129" t="s">
        <v>28</v>
      </c>
      <c r="B27" s="217">
        <f>'110-Light Industrial (ITE)'!D9</f>
        <v>4.58E-2</v>
      </c>
      <c r="C27" s="217">
        <f>'140-Manufacturing (ITE)'!D9</f>
        <v>2.6700000000000002E-2</v>
      </c>
      <c r="D27" s="133">
        <f>'154 - High-Cube Warehouse (ITE)'!D9</f>
        <v>2.7600000000000003E-2</v>
      </c>
      <c r="E27" s="216">
        <f>'210-Single Family (ITE)'!D9</f>
        <v>8.5199999999999998E-2</v>
      </c>
      <c r="F27" s="216">
        <f>'220-MultiFam HousingLR (ITE)'!D9</f>
        <v>8.4600000000000009E-2</v>
      </c>
      <c r="G27" s="133">
        <f>'430 - Golf Course (ITE)'!D9</f>
        <v>2.1999999999999999E-2</v>
      </c>
      <c r="H27" s="216" t="s">
        <v>165</v>
      </c>
      <c r="I27" s="216">
        <f>'495-Rec. Center (ITE)'!D9</f>
        <v>4.7500000000000001E-2</v>
      </c>
      <c r="J27" s="216">
        <f>'525-High School (ITE)'!D9</f>
        <v>3.9600000000000003E-2</v>
      </c>
      <c r="K27" s="133">
        <f>'565 - Day Care (ITE)'!D9</f>
        <v>0.1285</v>
      </c>
      <c r="L27" s="216">
        <f>'710-General Office (ITE)'!D9</f>
        <v>3.4000000000000002E-2</v>
      </c>
      <c r="M27" s="216" t="s">
        <v>165</v>
      </c>
      <c r="N27" s="133">
        <f>'813 - Discount Superstore (ITE)'!D9</f>
        <v>2.4200000000000003E-2</v>
      </c>
      <c r="O27" s="133">
        <f>'815 - Discount Store (ITE)'!D9</f>
        <v>1.2700000000000001E-2</v>
      </c>
      <c r="P27" s="133">
        <f>'820 - Shopping Center (ITE)'!D9</f>
        <v>1.84E-2</v>
      </c>
      <c r="Q27" s="133">
        <f>'840-Car Dealership New (ITE)'!D9</f>
        <v>5.2500000000000005E-2</v>
      </c>
      <c r="R27" s="216">
        <f>'850-Supermarket (ITE)'!D9</f>
        <v>3.2800000000000003E-2</v>
      </c>
      <c r="S27" s="133">
        <f>'857 - Discount Club (ITE)'!D9</f>
        <v>7.0000000000000001E-3</v>
      </c>
      <c r="T27" s="216">
        <f>'862-Home Improvement (ITE)'!D9</f>
        <v>4.9700000000000001E-2</v>
      </c>
      <c r="U27" s="216">
        <f>'875-Department Store (ITE)'!D9</f>
        <v>1.9E-2</v>
      </c>
      <c r="V27" s="133">
        <f>'932 - HTSD Restaurant (ITE)'!D9</f>
        <v>3.0800000000000001E-2</v>
      </c>
      <c r="W27" s="133">
        <f>'934 - Fast-Food w Drive (ITE)'!D9</f>
        <v>3.4200000000000001E-2</v>
      </c>
      <c r="X27" s="216">
        <f>'945-Gas Station 2-4k (ITE)'!D9</f>
        <v>5.9200000000000003E-2</v>
      </c>
      <c r="Y27" s="216">
        <f>'945-Gas Station 4-10k (ITE)'!D9</f>
        <v>6.430000000000001E-2</v>
      </c>
      <c r="Z27" s="213" t="s">
        <v>165</v>
      </c>
    </row>
    <row r="28" spans="1:26" x14ac:dyDescent="0.2">
      <c r="A28" s="129" t="s">
        <v>29</v>
      </c>
      <c r="B28" s="217">
        <f>'110-Light Industrial (ITE)'!D10</f>
        <v>7.2599999999999998E-2</v>
      </c>
      <c r="C28" s="217">
        <f>'140-Manufacturing (ITE)'!D10</f>
        <v>2.9600000000000001E-2</v>
      </c>
      <c r="D28" s="133">
        <f>'154 - High-Cube Warehouse (ITE)'!D10</f>
        <v>2.5900000000000003E-2</v>
      </c>
      <c r="E28" s="216">
        <f>'210-Single Family (ITE)'!D10</f>
        <v>5.7700000000000001E-2</v>
      </c>
      <c r="F28" s="216">
        <f>'220-MultiFam HousingLR (ITE)'!D10</f>
        <v>4.8800000000000003E-2</v>
      </c>
      <c r="G28" s="133">
        <f>'430 - Golf Course (ITE)'!D10</f>
        <v>3.5999999999999997E-2</v>
      </c>
      <c r="H28" s="216" t="s">
        <v>165</v>
      </c>
      <c r="I28" s="216">
        <f>'495-Rec. Center (ITE)'!D10</f>
        <v>6.2899999999999998E-2</v>
      </c>
      <c r="J28" s="216">
        <f>'525-High School (ITE)'!D10</f>
        <v>2.58E-2</v>
      </c>
      <c r="K28" s="133">
        <f>'565 - Day Care (ITE)'!D10</f>
        <v>4.5700000000000005E-2</v>
      </c>
      <c r="L28" s="216">
        <f>'710-General Office (ITE)'!D10</f>
        <v>4.36E-2</v>
      </c>
      <c r="M28" s="216" t="s">
        <v>165</v>
      </c>
      <c r="N28" s="133">
        <f>'813 - Discount Superstore (ITE)'!D10</f>
        <v>3.6600000000000001E-2</v>
      </c>
      <c r="O28" s="133">
        <f>'815 - Discount Store (ITE)'!D10</f>
        <v>5.0300000000000004E-2</v>
      </c>
      <c r="P28" s="133">
        <f>'820 - Shopping Center (ITE)'!D10</f>
        <v>3.1600000000000003E-2</v>
      </c>
      <c r="Q28" s="133">
        <f>'840-Car Dealership New (ITE)'!D10</f>
        <v>6.93E-2</v>
      </c>
      <c r="R28" s="216">
        <f>'850-Supermarket (ITE)'!D10</f>
        <v>4.4500000000000005E-2</v>
      </c>
      <c r="S28" s="133">
        <f>'857 - Discount Club (ITE)'!D10</f>
        <v>1.7999999999999999E-2</v>
      </c>
      <c r="T28" s="216">
        <f>'862-Home Improvement (ITE)'!D10</f>
        <v>6.5100000000000005E-2</v>
      </c>
      <c r="U28" s="216">
        <f>'875-Department Store (ITE)'!D10</f>
        <v>3.3000000000000002E-2</v>
      </c>
      <c r="V28" s="133">
        <f>'932 - HTSD Restaurant (ITE)'!D10</f>
        <v>3.39E-2</v>
      </c>
      <c r="W28" s="133">
        <f>'934 - Fast-Food w Drive (ITE)'!D10</f>
        <v>3.2600000000000004E-2</v>
      </c>
      <c r="X28" s="216">
        <f>'945-Gas Station 2-4k (ITE)'!D10</f>
        <v>5.0800000000000005E-2</v>
      </c>
      <c r="Y28" s="216">
        <f>'945-Gas Station 4-10k (ITE)'!D10</f>
        <v>5.7100000000000005E-2</v>
      </c>
      <c r="Z28" s="213" t="s">
        <v>165</v>
      </c>
    </row>
    <row r="29" spans="1:26" x14ac:dyDescent="0.2">
      <c r="A29" s="129" t="s">
        <v>30</v>
      </c>
      <c r="B29" s="217">
        <f>'110-Light Industrial (ITE)'!D11</f>
        <v>7.7600000000000002E-2</v>
      </c>
      <c r="C29" s="217">
        <f>'140-Manufacturing (ITE)'!D11</f>
        <v>3.0300000000000001E-2</v>
      </c>
      <c r="D29" s="133">
        <f>'154 - High-Cube Warehouse (ITE)'!D11</f>
        <v>2.86E-2</v>
      </c>
      <c r="E29" s="216">
        <f>'210-Single Family (ITE)'!D11</f>
        <v>5.57E-2</v>
      </c>
      <c r="F29" s="216">
        <f>'220-MultiFam HousingLR (ITE)'!D11</f>
        <v>4.7600000000000003E-2</v>
      </c>
      <c r="G29" s="133">
        <f>'430 - Golf Course (ITE)'!D11</f>
        <v>4.9000000000000002E-2</v>
      </c>
      <c r="H29" s="216" t="s">
        <v>165</v>
      </c>
      <c r="I29" s="216">
        <f>'495-Rec. Center (ITE)'!D11</f>
        <v>5.1900000000000002E-2</v>
      </c>
      <c r="J29" s="216">
        <f>'525-High School (ITE)'!D11</f>
        <v>3.4700000000000002E-2</v>
      </c>
      <c r="K29" s="133">
        <f>'565 - Day Care (ITE)'!D11</f>
        <v>2.86E-2</v>
      </c>
      <c r="L29" s="216">
        <f>'710-General Office (ITE)'!D11</f>
        <v>5.9900000000000002E-2</v>
      </c>
      <c r="M29" s="216" t="s">
        <v>165</v>
      </c>
      <c r="N29" s="133">
        <f>'813 - Discount Superstore (ITE)'!D11</f>
        <v>6.0299999999999999E-2</v>
      </c>
      <c r="O29" s="133">
        <f>'815 - Discount Store (ITE)'!D11</f>
        <v>7.5900000000000009E-2</v>
      </c>
      <c r="P29" s="133">
        <f>'820 - Shopping Center (ITE)'!D11</f>
        <v>5.2700000000000004E-2</v>
      </c>
      <c r="Q29" s="133">
        <f>'840-Car Dealership New (ITE)'!D11</f>
        <v>7.1000000000000008E-2</v>
      </c>
      <c r="R29" s="216">
        <f>'850-Supermarket (ITE)'!D11</f>
        <v>5.3900000000000003E-2</v>
      </c>
      <c r="S29" s="133">
        <f>'857 - Discount Club (ITE)'!D11</f>
        <v>3.5999999999999997E-2</v>
      </c>
      <c r="T29" s="216">
        <f>'862-Home Improvement (ITE)'!D11</f>
        <v>7.5800000000000006E-2</v>
      </c>
      <c r="U29" s="216">
        <f>'875-Department Store (ITE)'!D11</f>
        <v>5.0999999999999997E-2</v>
      </c>
      <c r="V29" s="133">
        <f>'932 - HTSD Restaurant (ITE)'!D11</f>
        <v>4.4000000000000004E-2</v>
      </c>
      <c r="W29" s="133">
        <f>'934 - Fast-Food w Drive (ITE)'!D11</f>
        <v>3.7000000000000005E-2</v>
      </c>
      <c r="X29" s="216">
        <f>'945-Gas Station 2-4k (ITE)'!D11</f>
        <v>5.1500000000000004E-2</v>
      </c>
      <c r="Y29" s="216">
        <f>'945-Gas Station 4-10k (ITE)'!D11</f>
        <v>5.2900000000000003E-2</v>
      </c>
      <c r="Z29" s="213" t="s">
        <v>165</v>
      </c>
    </row>
    <row r="30" spans="1:26" x14ac:dyDescent="0.2">
      <c r="A30" s="129" t="s">
        <v>37</v>
      </c>
      <c r="B30" s="217">
        <f>'110-Light Industrial (ITE)'!D12</f>
        <v>8.4600000000000009E-2</v>
      </c>
      <c r="C30" s="217">
        <f>'140-Manufacturing (ITE)'!D12</f>
        <v>4.87E-2</v>
      </c>
      <c r="D30" s="133">
        <f>'154 - High-Cube Warehouse (ITE)'!D12</f>
        <v>3.7100000000000001E-2</v>
      </c>
      <c r="E30" s="216">
        <f>'210-Single Family (ITE)'!D12</f>
        <v>5.1000000000000004E-2</v>
      </c>
      <c r="F30" s="216">
        <f>'220-MultiFam HousingLR (ITE)'!D12</f>
        <v>4.7300000000000002E-2</v>
      </c>
      <c r="G30" s="133">
        <f>'430 - Golf Course (ITE)'!D12</f>
        <v>6.8000000000000005E-2</v>
      </c>
      <c r="H30" s="216" t="s">
        <v>165</v>
      </c>
      <c r="I30" s="216">
        <f>'495-Rec. Center (ITE)'!D12</f>
        <v>6.430000000000001E-2</v>
      </c>
      <c r="J30" s="216">
        <f>'525-High School (ITE)'!D12</f>
        <v>2.6100000000000002E-2</v>
      </c>
      <c r="K30" s="133">
        <f>'565 - Day Care (ITE)'!D12</f>
        <v>2.6000000000000002E-2</v>
      </c>
      <c r="L30" s="216">
        <f>'710-General Office (ITE)'!D12</f>
        <v>0.1028</v>
      </c>
      <c r="M30" s="216" t="s">
        <v>165</v>
      </c>
      <c r="N30" s="133">
        <f>'813 - Discount Superstore (ITE)'!D12</f>
        <v>7.3200000000000001E-2</v>
      </c>
      <c r="O30" s="133">
        <f>'815 - Discount Store (ITE)'!D12</f>
        <v>9.5100000000000004E-2</v>
      </c>
      <c r="P30" s="133">
        <f>'820 - Shopping Center (ITE)'!D12</f>
        <v>7.2900000000000006E-2</v>
      </c>
      <c r="Q30" s="133">
        <f>'840-Car Dealership New (ITE)'!D12</f>
        <v>9.0500000000000011E-2</v>
      </c>
      <c r="R30" s="216">
        <f>'850-Supermarket (ITE)'!D12</f>
        <v>7.3200000000000001E-2</v>
      </c>
      <c r="S30" s="133">
        <f>'857 - Discount Club (ITE)'!D12</f>
        <v>5.7000000000000002E-2</v>
      </c>
      <c r="T30" s="216">
        <f>'862-Home Improvement (ITE)'!D12</f>
        <v>7.5800000000000006E-2</v>
      </c>
      <c r="U30" s="216">
        <f>'875-Department Store (ITE)'!D12</f>
        <v>7.2999999999999995E-2</v>
      </c>
      <c r="V30" s="133">
        <f>'932 - HTSD Restaurant (ITE)'!D12</f>
        <v>6.9199999999999998E-2</v>
      </c>
      <c r="W30" s="133">
        <f>'934 - Fast-Food w Drive (ITE)'!D12</f>
        <v>7.6600000000000001E-2</v>
      </c>
      <c r="X30" s="216">
        <f>'945-Gas Station 2-4k (ITE)'!D12</f>
        <v>5.2200000000000003E-2</v>
      </c>
      <c r="Y30" s="216">
        <f>'945-Gas Station 4-10k (ITE)'!D12</f>
        <v>5.7200000000000001E-2</v>
      </c>
      <c r="Z30" s="213" t="s">
        <v>165</v>
      </c>
    </row>
    <row r="31" spans="1:26" x14ac:dyDescent="0.2">
      <c r="A31" s="129" t="s">
        <v>31</v>
      </c>
      <c r="B31" s="217">
        <f>'110-Light Industrial (ITE)'!D13</f>
        <v>0.1085</v>
      </c>
      <c r="C31" s="217">
        <f>'140-Manufacturing (ITE)'!D13</f>
        <v>6.2800000000000009E-2</v>
      </c>
      <c r="D31" s="133">
        <f>'154 - High-Cube Warehouse (ITE)'!D13</f>
        <v>6.88E-2</v>
      </c>
      <c r="E31" s="216">
        <f>'210-Single Family (ITE)'!D13</f>
        <v>5.6800000000000003E-2</v>
      </c>
      <c r="F31" s="216">
        <f>'220-MultiFam HousingLR (ITE)'!D13</f>
        <v>4.1200000000000001E-2</v>
      </c>
      <c r="G31" s="133">
        <f>'430 - Golf Course (ITE)'!D13</f>
        <v>8.7999999999999995E-2</v>
      </c>
      <c r="H31" s="216" t="s">
        <v>165</v>
      </c>
      <c r="I31" s="216">
        <f>'495-Rec. Center (ITE)'!D13</f>
        <v>6.9400000000000003E-2</v>
      </c>
      <c r="J31" s="216">
        <f>'525-High School (ITE)'!D13</f>
        <v>4.6800000000000001E-2</v>
      </c>
      <c r="K31" s="133">
        <f>'565 - Day Care (ITE)'!D13</f>
        <v>2.6200000000000001E-2</v>
      </c>
      <c r="L31" s="216">
        <f>'710-General Office (ITE)'!D13</f>
        <v>0.1013</v>
      </c>
      <c r="M31" s="216" t="s">
        <v>165</v>
      </c>
      <c r="N31" s="133">
        <f>'813 - Discount Superstore (ITE)'!D13</f>
        <v>8.3799999999999999E-2</v>
      </c>
      <c r="O31" s="133">
        <f>'815 - Discount Store (ITE)'!D13</f>
        <v>0.10730000000000001</v>
      </c>
      <c r="P31" s="133">
        <f>'820 - Shopping Center (ITE)'!D13</f>
        <v>8.8599999999999998E-2</v>
      </c>
      <c r="Q31" s="133">
        <f>'840-Car Dealership New (ITE)'!D13</f>
        <v>0.10400000000000001</v>
      </c>
      <c r="R31" s="216">
        <f>'850-Supermarket (ITE)'!D13</f>
        <v>9.920000000000001E-2</v>
      </c>
      <c r="S31" s="133">
        <f>'857 - Discount Club (ITE)'!D13</f>
        <v>9.5000000000000001E-2</v>
      </c>
      <c r="T31" s="216">
        <f>'862-Home Improvement (ITE)'!D13</f>
        <v>7.9000000000000001E-2</v>
      </c>
      <c r="U31" s="216">
        <f>'875-Department Store (ITE)'!D13</f>
        <v>0.1</v>
      </c>
      <c r="V31" s="133">
        <f>'932 - HTSD Restaurant (ITE)'!D13</f>
        <v>0.12290000000000001</v>
      </c>
      <c r="W31" s="133">
        <f>'934 - Fast-Food w Drive (ITE)'!D13</f>
        <v>0.1198</v>
      </c>
      <c r="X31" s="216">
        <f>'945-Gas Station 2-4k (ITE)'!D13</f>
        <v>5.7600000000000005E-2</v>
      </c>
      <c r="Y31" s="216">
        <f>'945-Gas Station 4-10k (ITE)'!D13</f>
        <v>6.6000000000000003E-2</v>
      </c>
      <c r="Z31" s="213" t="s">
        <v>165</v>
      </c>
    </row>
    <row r="32" spans="1:26" x14ac:dyDescent="0.2">
      <c r="A32" s="129" t="s">
        <v>32</v>
      </c>
      <c r="B32" s="217">
        <f>'110-Light Industrial (ITE)'!D14</f>
        <v>7.2599999999999998E-2</v>
      </c>
      <c r="C32" s="217">
        <f>'140-Manufacturing (ITE)'!D14</f>
        <v>6.7100000000000007E-2</v>
      </c>
      <c r="D32" s="133">
        <f>'154 - High-Cube Warehouse (ITE)'!D14</f>
        <v>5.9200000000000003E-2</v>
      </c>
      <c r="E32" s="216">
        <f>'210-Single Family (ITE)'!D14</f>
        <v>6.0100000000000001E-2</v>
      </c>
      <c r="F32" s="216">
        <f>'220-MultiFam HousingLR (ITE)'!D14</f>
        <v>4.4299999999999999E-2</v>
      </c>
      <c r="G32" s="133">
        <f>'430 - Golf Course (ITE)'!D14</f>
        <v>9.4E-2</v>
      </c>
      <c r="H32" s="216" t="s">
        <v>165</v>
      </c>
      <c r="I32" s="216">
        <f>'495-Rec. Center (ITE)'!D14</f>
        <v>2.8500000000000001E-2</v>
      </c>
      <c r="J32" s="216">
        <f>'525-High School (ITE)'!D14</f>
        <v>4.3700000000000003E-2</v>
      </c>
      <c r="K32" s="133">
        <f>'565 - Day Care (ITE)'!D14</f>
        <v>3.2199999999999999E-2</v>
      </c>
      <c r="L32" s="216">
        <f>'710-General Office (ITE)'!D14</f>
        <v>6.6299999999999998E-2</v>
      </c>
      <c r="M32" s="216" t="s">
        <v>165</v>
      </c>
      <c r="N32" s="133">
        <f>'813 - Discount Superstore (ITE)'!D14</f>
        <v>8.0600000000000005E-2</v>
      </c>
      <c r="O32" s="133">
        <f>'815 - Discount Store (ITE)'!D14</f>
        <v>0.10260000000000001</v>
      </c>
      <c r="P32" s="133">
        <f>'820 - Shopping Center (ITE)'!D14</f>
        <v>8.9800000000000005E-2</v>
      </c>
      <c r="Q32" s="133">
        <f>'840-Car Dealership New (ITE)'!D14</f>
        <v>9.4300000000000009E-2</v>
      </c>
      <c r="R32" s="216">
        <f>'850-Supermarket (ITE)'!D14</f>
        <v>7.4499999999999997E-2</v>
      </c>
      <c r="S32" s="133">
        <f>'857 - Discount Club (ITE)'!D14</f>
        <v>0.11</v>
      </c>
      <c r="T32" s="216">
        <f>'862-Home Improvement (ITE)'!D14</f>
        <v>8.6400000000000005E-2</v>
      </c>
      <c r="U32" s="216">
        <f>'875-Department Store (ITE)'!D14</f>
        <v>0.10100000000000001</v>
      </c>
      <c r="V32" s="133">
        <f>'932 - HTSD Restaurant (ITE)'!D14</f>
        <v>0.1119</v>
      </c>
      <c r="W32" s="133">
        <f>'934 - Fast-Food w Drive (ITE)'!D14</f>
        <v>8.72E-2</v>
      </c>
      <c r="X32" s="216">
        <f>'945-Gas Station 2-4k (ITE)'!D14</f>
        <v>5.3400000000000003E-2</v>
      </c>
      <c r="Y32" s="216">
        <f>'945-Gas Station 4-10k (ITE)'!D14</f>
        <v>5.9500000000000004E-2</v>
      </c>
      <c r="Z32" s="213" t="s">
        <v>165</v>
      </c>
    </row>
    <row r="33" spans="1:26" x14ac:dyDescent="0.2">
      <c r="A33" s="129" t="s">
        <v>33</v>
      </c>
      <c r="B33" s="217">
        <f>'110-Light Industrial (ITE)'!D15</f>
        <v>8.8599999999999998E-2</v>
      </c>
      <c r="C33" s="217">
        <f>'140-Manufacturing (ITE)'!D15</f>
        <v>7.1099999999999997E-2</v>
      </c>
      <c r="D33" s="133">
        <f>'154 - High-Cube Warehouse (ITE)'!D15</f>
        <v>4.3200000000000002E-2</v>
      </c>
      <c r="E33" s="216">
        <f>'210-Single Family (ITE)'!D15</f>
        <v>6.1200000000000004E-2</v>
      </c>
      <c r="F33" s="216">
        <f>'220-MultiFam HousingLR (ITE)'!D15</f>
        <v>4.8800000000000003E-2</v>
      </c>
      <c r="G33" s="133">
        <f>'430 - Golf Course (ITE)'!D15</f>
        <v>9.5000000000000001E-2</v>
      </c>
      <c r="H33" s="216" t="s">
        <v>165</v>
      </c>
      <c r="I33" s="216">
        <f>'495-Rec. Center (ITE)'!D15</f>
        <v>3.0000000000000002E-2</v>
      </c>
      <c r="J33" s="216">
        <f>'525-High School (ITE)'!D15</f>
        <v>3.8900000000000004E-2</v>
      </c>
      <c r="K33" s="133">
        <f>'565 - Day Care (ITE)'!D15</f>
        <v>4.4700000000000004E-2</v>
      </c>
      <c r="L33" s="216">
        <f>'710-General Office (ITE)'!D15</f>
        <v>6.4600000000000005E-2</v>
      </c>
      <c r="M33" s="216" t="s">
        <v>165</v>
      </c>
      <c r="N33" s="133">
        <f>'813 - Discount Superstore (ITE)'!D15</f>
        <v>8.2299999999999998E-2</v>
      </c>
      <c r="O33" s="133">
        <f>'815 - Discount Store (ITE)'!D15</f>
        <v>0.10340000000000001</v>
      </c>
      <c r="P33" s="133">
        <f>'820 - Shopping Center (ITE)'!D15</f>
        <v>8.6199999999999999E-2</v>
      </c>
      <c r="Q33" s="133">
        <f>'840-Car Dealership New (ITE)'!D15</f>
        <v>0.11</v>
      </c>
      <c r="R33" s="216">
        <f>'850-Supermarket (ITE)'!D15</f>
        <v>9.1600000000000001E-2</v>
      </c>
      <c r="S33" s="133">
        <f>'857 - Discount Club (ITE)'!D15</f>
        <v>0.10199999999999999</v>
      </c>
      <c r="T33" s="216">
        <f>'862-Home Improvement (ITE)'!D15</f>
        <v>7.7600000000000002E-2</v>
      </c>
      <c r="U33" s="216">
        <f>'875-Department Store (ITE)'!D15</f>
        <v>8.5999999999999993E-2</v>
      </c>
      <c r="V33" s="133">
        <f>'932 - HTSD Restaurant (ITE)'!D15</f>
        <v>5.0800000000000005E-2</v>
      </c>
      <c r="W33" s="133">
        <f>'934 - Fast-Food w Drive (ITE)'!D15</f>
        <v>6.4600000000000005E-2</v>
      </c>
      <c r="X33" s="216">
        <f>'945-Gas Station 2-4k (ITE)'!D15</f>
        <v>5.8300000000000005E-2</v>
      </c>
      <c r="Y33" s="216">
        <f>'945-Gas Station 4-10k (ITE)'!D15</f>
        <v>6.2E-2</v>
      </c>
      <c r="Z33" s="213" t="s">
        <v>165</v>
      </c>
    </row>
    <row r="34" spans="1:26" x14ac:dyDescent="0.2">
      <c r="A34" s="129" t="s">
        <v>34</v>
      </c>
      <c r="B34" s="217">
        <f>'110-Light Industrial (ITE)'!D16</f>
        <v>0.1134</v>
      </c>
      <c r="C34" s="217">
        <f>'140-Manufacturing (ITE)'!D16</f>
        <v>0.20620000000000002</v>
      </c>
      <c r="D34" s="133">
        <f>'154 - High-Cube Warehouse (ITE)'!D16</f>
        <v>9.9700000000000011E-2</v>
      </c>
      <c r="E34" s="216">
        <f>'210-Single Family (ITE)'!D16</f>
        <v>6.2400000000000004E-2</v>
      </c>
      <c r="F34" s="216">
        <f>'220-MultiFam HousingLR (ITE)'!D16</f>
        <v>5.3100000000000001E-2</v>
      </c>
      <c r="G34" s="133">
        <f>'430 - Golf Course (ITE)'!D16</f>
        <v>0.10100000000000001</v>
      </c>
      <c r="H34" s="216" t="s">
        <v>165</v>
      </c>
      <c r="I34" s="216">
        <f>'495-Rec. Center (ITE)'!D16</f>
        <v>6.3600000000000004E-2</v>
      </c>
      <c r="J34" s="216">
        <f>'525-High School (ITE)'!D16</f>
        <v>0.27860000000000001</v>
      </c>
      <c r="K34" s="133">
        <f>'565 - Day Care (ITE)'!D16</f>
        <v>6.88E-2</v>
      </c>
      <c r="L34" s="216">
        <f>'710-General Office (ITE)'!D16</f>
        <v>8.3900000000000002E-2</v>
      </c>
      <c r="M34" s="216" t="s">
        <v>165</v>
      </c>
      <c r="N34" s="133">
        <f>'813 - Discount Superstore (ITE)'!D16</f>
        <v>8.5199999999999998E-2</v>
      </c>
      <c r="O34" s="133">
        <f>'815 - Discount Store (ITE)'!D16</f>
        <v>8.7900000000000006E-2</v>
      </c>
      <c r="P34" s="133">
        <f>'820 - Shopping Center (ITE)'!D16</f>
        <v>8.4600000000000009E-2</v>
      </c>
      <c r="Q34" s="133">
        <f>'840-Car Dealership New (ITE)'!D16</f>
        <v>9.8000000000000004E-2</v>
      </c>
      <c r="R34" s="216">
        <f>'850-Supermarket (ITE)'!D16</f>
        <v>8.4900000000000003E-2</v>
      </c>
      <c r="S34" s="133">
        <f>'857 - Discount Club (ITE)'!D16</f>
        <v>9.4E-2</v>
      </c>
      <c r="T34" s="216">
        <f>'862-Home Improvement (ITE)'!D16</f>
        <v>7.4099999999999999E-2</v>
      </c>
      <c r="U34" s="216">
        <f>'875-Department Store (ITE)'!D16</f>
        <v>8.5000000000000006E-2</v>
      </c>
      <c r="V34" s="133">
        <f>'932 - HTSD Restaurant (ITE)'!D16</f>
        <v>3.9600000000000003E-2</v>
      </c>
      <c r="W34" s="133">
        <f>'934 - Fast-Food w Drive (ITE)'!D16</f>
        <v>5.7100000000000005E-2</v>
      </c>
      <c r="X34" s="216">
        <f>'945-Gas Station 2-4k (ITE)'!D16</f>
        <v>6.430000000000001E-2</v>
      </c>
      <c r="Y34" s="216">
        <f>'945-Gas Station 4-10k (ITE)'!D16</f>
        <v>6.7799999999999999E-2</v>
      </c>
      <c r="Z34" s="213" t="s">
        <v>165</v>
      </c>
    </row>
    <row r="35" spans="1:26" x14ac:dyDescent="0.2">
      <c r="A35" s="129" t="s">
        <v>35</v>
      </c>
      <c r="B35" s="217">
        <f>'110-Light Industrial (ITE)'!D17</f>
        <v>0.1085</v>
      </c>
      <c r="C35" s="217">
        <f>'140-Manufacturing (ITE)'!D17</f>
        <v>0.1153</v>
      </c>
      <c r="D35" s="133">
        <f>'154 - High-Cube Warehouse (ITE)'!D17</f>
        <v>6.3E-2</v>
      </c>
      <c r="E35" s="216">
        <f>'210-Single Family (ITE)'!D17</f>
        <v>7.3900000000000007E-2</v>
      </c>
      <c r="F35" s="216">
        <f>'220-MultiFam HousingLR (ITE)'!D17</f>
        <v>5.6400000000000006E-2</v>
      </c>
      <c r="G35" s="133">
        <f>'430 - Golf Course (ITE)'!D17</f>
        <v>8.8999999999999996E-2</v>
      </c>
      <c r="H35" s="216" t="s">
        <v>165</v>
      </c>
      <c r="I35" s="216">
        <f>'495-Rec. Center (ITE)'!D17</f>
        <v>5.9900000000000002E-2</v>
      </c>
      <c r="J35" s="216">
        <f>'525-High School (ITE)'!D17</f>
        <v>8.7000000000000008E-2</v>
      </c>
      <c r="K35" s="133">
        <f>'565 - Day Care (ITE)'!D17</f>
        <v>0.1399</v>
      </c>
      <c r="L35" s="216">
        <f>'710-General Office (ITE)'!D17</f>
        <v>0.15230000000000002</v>
      </c>
      <c r="M35" s="216" t="s">
        <v>165</v>
      </c>
      <c r="N35" s="133">
        <f>'813 - Discount Superstore (ITE)'!D17</f>
        <v>8.6000000000000007E-2</v>
      </c>
      <c r="O35" s="133">
        <f>'815 - Discount Store (ITE)'!D17</f>
        <v>0.1014</v>
      </c>
      <c r="P35" s="133">
        <f>'820 - Shopping Center (ITE)'!D17</f>
        <v>8.7400000000000005E-2</v>
      </c>
      <c r="Q35" s="133">
        <f>'840-Car Dealership New (ITE)'!D17</f>
        <v>7.4800000000000005E-2</v>
      </c>
      <c r="R35" s="216">
        <f>'850-Supermarket (ITE)'!D17</f>
        <v>9.6500000000000002E-2</v>
      </c>
      <c r="S35" s="133">
        <f>'857 - Discount Club (ITE)'!D17</f>
        <v>8.5999999999999993E-2</v>
      </c>
      <c r="T35" s="216">
        <f>'862-Home Improvement (ITE)'!D17</f>
        <v>7.3099999999999998E-2</v>
      </c>
      <c r="U35" s="216">
        <f>'875-Department Store (ITE)'!D17</f>
        <v>6.7000000000000004E-2</v>
      </c>
      <c r="V35" s="133">
        <f>'932 - HTSD Restaurant (ITE)'!D17</f>
        <v>3.9100000000000003E-2</v>
      </c>
      <c r="W35" s="133">
        <f>'934 - Fast-Food w Drive (ITE)'!D17</f>
        <v>5.5500000000000001E-2</v>
      </c>
      <c r="X35" s="216">
        <f>'945-Gas Station 2-4k (ITE)'!D17</f>
        <v>7.0500000000000007E-2</v>
      </c>
      <c r="Y35" s="216">
        <f>'945-Gas Station 4-10k (ITE)'!D17</f>
        <v>6.5100000000000005E-2</v>
      </c>
      <c r="Z35" s="213" t="s">
        <v>165</v>
      </c>
    </row>
    <row r="36" spans="1:26" x14ac:dyDescent="0.2">
      <c r="A36" s="129" t="s">
        <v>36</v>
      </c>
      <c r="B36" s="217">
        <f>'110-Light Industrial (ITE)'!D18</f>
        <v>0.16720000000000002</v>
      </c>
      <c r="C36" s="217">
        <f>'140-Manufacturing (ITE)'!D18</f>
        <v>9.5899999999999999E-2</v>
      </c>
      <c r="D36" s="133">
        <f>'154 - High-Cube Warehouse (ITE)'!D18</f>
        <v>7.7899999999999997E-2</v>
      </c>
      <c r="E36" s="216">
        <f>'210-Single Family (ITE)'!D18</f>
        <v>7.3099999999999998E-2</v>
      </c>
      <c r="F36" s="216">
        <f>'220-MultiFam HousingLR (ITE)'!D18</f>
        <v>7.5700000000000003E-2</v>
      </c>
      <c r="G36" s="133">
        <f>'430 - Golf Course (ITE)'!D18</f>
        <v>9.0999999999999998E-2</v>
      </c>
      <c r="H36" s="216" t="s">
        <v>165</v>
      </c>
      <c r="I36" s="216">
        <f>'495-Rec. Center (ITE)'!D18</f>
        <v>9.6500000000000002E-2</v>
      </c>
      <c r="J36" s="216">
        <f>'525-High School (ITE)'!D18</f>
        <v>0.12660000000000002</v>
      </c>
      <c r="K36" s="133">
        <f>'565 - Day Care (ITE)'!D18</f>
        <v>0.18690000000000001</v>
      </c>
      <c r="L36" s="216">
        <f>'710-General Office (ITE)'!D18</f>
        <v>0.15810000000000002</v>
      </c>
      <c r="M36" s="216" t="s">
        <v>165</v>
      </c>
      <c r="N36" s="133">
        <f>'813 - Discount Superstore (ITE)'!D18</f>
        <v>8.1000000000000003E-2</v>
      </c>
      <c r="O36" s="133">
        <f>'815 - Discount Store (ITE)'!D18</f>
        <v>8.2400000000000001E-2</v>
      </c>
      <c r="P36" s="133">
        <f>'820 - Shopping Center (ITE)'!D18</f>
        <v>8.8800000000000004E-2</v>
      </c>
      <c r="Q36" s="133">
        <f>'840-Car Dealership New (ITE)'!D18</f>
        <v>0.10020000000000001</v>
      </c>
      <c r="R36" s="216">
        <f>'850-Supermarket (ITE)'!D18</f>
        <v>9.4700000000000006E-2</v>
      </c>
      <c r="S36" s="133">
        <f>'857 - Discount Club (ITE)'!D18</f>
        <v>7.9000000000000001E-2</v>
      </c>
      <c r="T36" s="216">
        <f>'862-Home Improvement (ITE)'!D18</f>
        <v>7.3800000000000004E-2</v>
      </c>
      <c r="U36" s="216">
        <f>'875-Department Store (ITE)'!D18</f>
        <v>7.2999999999999995E-2</v>
      </c>
      <c r="V36" s="133">
        <f>'932 - HTSD Restaurant (ITE)'!D18</f>
        <v>6.83E-2</v>
      </c>
      <c r="W36" s="133">
        <f>'934 - Fast-Food w Drive (ITE)'!D18</f>
        <v>6.5299999999999997E-2</v>
      </c>
      <c r="X36" s="216">
        <f>'945-Gas Station 2-4k (ITE)'!D18</f>
        <v>6.93E-2</v>
      </c>
      <c r="Y36" s="216">
        <f>'945-Gas Station 4-10k (ITE)'!D18</f>
        <v>6.9100000000000009E-2</v>
      </c>
      <c r="Z36" s="213" t="s">
        <v>165</v>
      </c>
    </row>
    <row r="37" spans="1:26" x14ac:dyDescent="0.2">
      <c r="A37" s="204" t="s">
        <v>141</v>
      </c>
      <c r="B37" s="217">
        <f>'110-Light Industrial (ITE)'!D19</f>
        <v>2.3900000000000001E-2</v>
      </c>
      <c r="C37" s="217">
        <f>'140-Manufacturing (ITE)'!D19</f>
        <v>2.6700000000000002E-2</v>
      </c>
      <c r="D37" s="133">
        <f>'154 - High-Cube Warehouse (ITE)'!D19</f>
        <v>8.7800000000000003E-2</v>
      </c>
      <c r="E37" s="216">
        <f>'210-Single Family (ITE)'!D19</f>
        <v>5.8600000000000006E-2</v>
      </c>
      <c r="F37" s="216">
        <f>'220-MultiFam HousingLR (ITE)'!D19</f>
        <v>6.6900000000000001E-2</v>
      </c>
      <c r="G37" s="133">
        <f>'430 - Golf Course (ITE)'!D19</f>
        <v>9.2999999999999999E-2</v>
      </c>
      <c r="H37" s="216" t="s">
        <v>165</v>
      </c>
      <c r="I37" s="216">
        <f>'495-Rec. Center (ITE)'!D19</f>
        <v>8.5500000000000007E-2</v>
      </c>
      <c r="J37" s="216">
        <f>'525-High School (ITE)'!D19</f>
        <v>4.82E-2</v>
      </c>
      <c r="K37" s="133">
        <f>'565 - Day Care (ITE)'!D19</f>
        <v>6.3100000000000003E-2</v>
      </c>
      <c r="L37" s="216">
        <f>'710-General Office (ITE)'!D19</f>
        <v>2.63E-2</v>
      </c>
      <c r="M37" s="216" t="s">
        <v>165</v>
      </c>
      <c r="N37" s="133">
        <f>'813 - Discount Superstore (ITE)'!D19</f>
        <v>7.2900000000000006E-2</v>
      </c>
      <c r="O37" s="133">
        <f>'815 - Discount Store (ITE)'!D19</f>
        <v>6.1800000000000001E-2</v>
      </c>
      <c r="P37" s="133">
        <f>'820 - Shopping Center (ITE)'!D19</f>
        <v>7.8100000000000003E-2</v>
      </c>
      <c r="Q37" s="133">
        <f>'840-Car Dealership New (ITE)'!D19</f>
        <v>6.9900000000000004E-2</v>
      </c>
      <c r="R37" s="216">
        <f>'850-Supermarket (ITE)'!D19</f>
        <v>9.2499999999999999E-2</v>
      </c>
      <c r="S37" s="133">
        <f>'857 - Discount Club (ITE)'!D19</f>
        <v>8.2000000000000003E-2</v>
      </c>
      <c r="T37" s="216">
        <f>'862-Home Improvement (ITE)'!D19</f>
        <v>7.0300000000000001E-2</v>
      </c>
      <c r="U37" s="216">
        <f>'875-Department Store (ITE)'!D19</f>
        <v>7.0000000000000007E-2</v>
      </c>
      <c r="V37" s="133">
        <f>'932 - HTSD Restaurant (ITE)'!D19</f>
        <v>8.6699999999999999E-2</v>
      </c>
      <c r="W37" s="133">
        <f>'934 - Fast-Food w Drive (ITE)'!D19</f>
        <v>7.400000000000001E-2</v>
      </c>
      <c r="X37" s="216">
        <f>'945-Gas Station 2-4k (ITE)'!D19</f>
        <v>6.5600000000000006E-2</v>
      </c>
      <c r="Y37" s="216">
        <f>'945-Gas Station 4-10k (ITE)'!D19</f>
        <v>5.4200000000000005E-2</v>
      </c>
      <c r="Z37" s="213" t="s">
        <v>165</v>
      </c>
    </row>
    <row r="38" spans="1:26" x14ac:dyDescent="0.2">
      <c r="A38" s="205" t="s">
        <v>142</v>
      </c>
      <c r="B38" s="217">
        <f>'110-Light Industrial (ITE)'!D20</f>
        <v>1E-3</v>
      </c>
      <c r="C38" s="217">
        <f>'140-Manufacturing (ITE)'!D20</f>
        <v>1.4800000000000001E-2</v>
      </c>
      <c r="D38" s="133">
        <f>'154 - High-Cube Warehouse (ITE)'!D20</f>
        <v>9.3900000000000011E-2</v>
      </c>
      <c r="E38" s="216">
        <f>'210-Single Family (ITE)'!D20</f>
        <v>4.24E-2</v>
      </c>
      <c r="F38" s="216">
        <f>'220-MultiFam HousingLR (ITE)'!D20</f>
        <v>4.7100000000000003E-2</v>
      </c>
      <c r="G38" s="133">
        <f>'430 - Golf Course (ITE)'!D20</f>
        <v>7.5999999999999998E-2</v>
      </c>
      <c r="H38" s="216" t="s">
        <v>165</v>
      </c>
      <c r="I38" s="216">
        <f>'495-Rec. Center (ITE)'!D20</f>
        <v>0.1221</v>
      </c>
      <c r="J38" s="216">
        <f>'525-High School (ITE)'!D20</f>
        <v>1.5800000000000002E-2</v>
      </c>
      <c r="K38" s="133">
        <f>'565 - Day Care (ITE)'!D20</f>
        <v>2.0000000000000001E-4</v>
      </c>
      <c r="L38" s="216">
        <f>'710-General Office (ITE)'!D20</f>
        <v>2.35E-2</v>
      </c>
      <c r="M38" s="216" t="s">
        <v>165</v>
      </c>
      <c r="N38" s="133">
        <f>'813 - Discount Superstore (ITE)'!D20</f>
        <v>6.7900000000000002E-2</v>
      </c>
      <c r="O38" s="133">
        <f>'815 - Discount Store (ITE)'!D20</f>
        <v>5.7200000000000001E-2</v>
      </c>
      <c r="P38" s="133">
        <f>'820 - Shopping Center (ITE)'!D20</f>
        <v>6.9500000000000006E-2</v>
      </c>
      <c r="Q38" s="133">
        <f>'840-Car Dealership New (ITE)'!D20</f>
        <v>4.0100000000000004E-2</v>
      </c>
      <c r="R38" s="216">
        <f>'850-Supermarket (ITE)'!D20</f>
        <v>6.6500000000000004E-2</v>
      </c>
      <c r="S38" s="133">
        <f>'857 - Discount Club (ITE)'!D20</f>
        <v>9.7000000000000003E-2</v>
      </c>
      <c r="T38" s="216">
        <f>'862-Home Improvement (ITE)'!D20</f>
        <v>6.9100000000000009E-2</v>
      </c>
      <c r="U38" s="216">
        <f>'875-Department Store (ITE)'!D20</f>
        <v>7.2999999999999995E-2</v>
      </c>
      <c r="V38" s="133">
        <f>'932 - HTSD Restaurant (ITE)'!D20</f>
        <v>9.240000000000001E-2</v>
      </c>
      <c r="W38" s="133">
        <f>'934 - Fast-Food w Drive (ITE)'!D20</f>
        <v>6.6400000000000001E-2</v>
      </c>
      <c r="X38" s="216">
        <f>'945-Gas Station 2-4k (ITE)'!D20</f>
        <v>5.3000000000000005E-2</v>
      </c>
      <c r="Y38" s="216">
        <f>'945-Gas Station 4-10k (ITE)'!D20</f>
        <v>4.0300000000000002E-2</v>
      </c>
      <c r="Z38" s="213" t="s">
        <v>165</v>
      </c>
    </row>
    <row r="39" spans="1:26" x14ac:dyDescent="0.2">
      <c r="A39" s="205" t="s">
        <v>160</v>
      </c>
      <c r="B39" s="217">
        <f>'110-Light Industrial (ITE)'!D21</f>
        <v>0</v>
      </c>
      <c r="C39" s="217">
        <f>'140-Manufacturing (ITE)'!D21</f>
        <v>1.5300000000000001E-2</v>
      </c>
      <c r="D39" s="133">
        <f>'154 - High-Cube Warehouse (ITE)'!D21</f>
        <v>5.7500000000000002E-2</v>
      </c>
      <c r="E39" s="216">
        <f>'210-Single Family (ITE)'!D21</f>
        <v>3.0800000000000001E-2</v>
      </c>
      <c r="F39" s="216">
        <f>'220-MultiFam HousingLR (ITE)'!D21</f>
        <v>4.1600000000000005E-2</v>
      </c>
      <c r="G39" s="133">
        <f>'430 - Golf Course (ITE)'!D21</f>
        <v>5.6000000000000001E-2</v>
      </c>
      <c r="H39" s="216" t="s">
        <v>165</v>
      </c>
      <c r="I39" s="216">
        <f>'495-Rec. Center (ITE)'!D21</f>
        <v>7.5999999999999998E-2</v>
      </c>
      <c r="J39" s="216">
        <f>'525-High School (ITE)'!D21</f>
        <v>1.7000000000000001E-3</v>
      </c>
      <c r="K39" s="133">
        <f>'565 - Day Care (ITE)'!D21</f>
        <v>0</v>
      </c>
      <c r="L39" s="216">
        <f>'710-General Office (ITE)'!D21</f>
        <v>1.34E-2</v>
      </c>
      <c r="M39" s="216" t="s">
        <v>165</v>
      </c>
      <c r="N39" s="133">
        <f>'813 - Discount Superstore (ITE)'!D21</f>
        <v>5.3400000000000003E-2</v>
      </c>
      <c r="O39" s="133">
        <f>'815 - Discount Store (ITE)'!D21</f>
        <v>4.0600000000000004E-2</v>
      </c>
      <c r="P39" s="133">
        <f>'820 - Shopping Center (ITE)'!D21</f>
        <v>6.3399999999999998E-2</v>
      </c>
      <c r="Q39" s="133">
        <f>'840-Car Dealership New (ITE)'!D21</f>
        <v>0</v>
      </c>
      <c r="R39" s="216">
        <f>'850-Supermarket (ITE)'!D21</f>
        <v>4.2200000000000001E-2</v>
      </c>
      <c r="S39" s="133">
        <f>'857 - Discount Club (ITE)'!D21</f>
        <v>9.9000000000000005E-2</v>
      </c>
      <c r="T39" s="216">
        <f>'862-Home Improvement (ITE)'!D21</f>
        <v>5.4300000000000001E-2</v>
      </c>
      <c r="U39" s="216">
        <f>'875-Department Store (ITE)'!D21</f>
        <v>6.3E-2</v>
      </c>
      <c r="V39" s="133">
        <f>'932 - HTSD Restaurant (ITE)'!D21</f>
        <v>7.1400000000000005E-2</v>
      </c>
      <c r="W39" s="133">
        <f>'934 - Fast-Food w Drive (ITE)'!D21</f>
        <v>5.8500000000000003E-2</v>
      </c>
      <c r="X39" s="216">
        <f>'945-Gas Station 2-4k (ITE)'!D21</f>
        <v>4.4600000000000001E-2</v>
      </c>
      <c r="Y39" s="216">
        <f>'945-Gas Station 4-10k (ITE)'!D21</f>
        <v>3.3700000000000001E-2</v>
      </c>
      <c r="Z39" s="213" t="s">
        <v>165</v>
      </c>
    </row>
    <row r="40" spans="1:26" x14ac:dyDescent="0.2">
      <c r="A40" s="205" t="s">
        <v>161</v>
      </c>
      <c r="B40" s="217">
        <f>'110-Light Industrial (ITE)'!D22</f>
        <v>0</v>
      </c>
      <c r="C40" s="217">
        <f>'140-Manufacturing (ITE)'!D22</f>
        <v>2.1000000000000001E-2</v>
      </c>
      <c r="D40" s="133">
        <f>'154 - High-Cube Warehouse (ITE)'!D22</f>
        <v>1.5000000000000001E-2</v>
      </c>
      <c r="E40" s="216">
        <f>'210-Single Family (ITE)'!D22</f>
        <v>2.3E-2</v>
      </c>
      <c r="F40" s="216">
        <f>'220-MultiFam HousingLR (ITE)'!D22</f>
        <v>2.7400000000000001E-2</v>
      </c>
      <c r="G40" s="133">
        <f>'430 - Golf Course (ITE)'!D22</f>
        <v>1.4999999999999999E-2</v>
      </c>
      <c r="H40" s="216" t="s">
        <v>165</v>
      </c>
      <c r="I40" s="216">
        <f>'495-Rec. Center (ITE)'!D22</f>
        <v>4.3099999999999999E-2</v>
      </c>
      <c r="J40" s="216">
        <f>'525-High School (ITE)'!D22</f>
        <v>3.0000000000000003E-4</v>
      </c>
      <c r="K40" s="133">
        <f>'565 - Day Care (ITE)'!D22</f>
        <v>0</v>
      </c>
      <c r="L40" s="216">
        <f>'710-General Office (ITE)'!D22</f>
        <v>1.5700000000000002E-2</v>
      </c>
      <c r="M40" s="216" t="s">
        <v>165</v>
      </c>
      <c r="N40" s="133">
        <f>'813 - Discount Superstore (ITE)'!D22</f>
        <v>0.04</v>
      </c>
      <c r="O40" s="133">
        <f>'815 - Discount Store (ITE)'!D22</f>
        <v>1.3900000000000001E-2</v>
      </c>
      <c r="P40" s="133">
        <f>'820 - Shopping Center (ITE)'!D22</f>
        <v>4.6200000000000005E-2</v>
      </c>
      <c r="Q40" s="133">
        <f>'840-Car Dealership New (ITE)'!D22</f>
        <v>0</v>
      </c>
      <c r="R40" s="216">
        <f>'850-Supermarket (ITE)'!D22</f>
        <v>2.7800000000000002E-2</v>
      </c>
      <c r="S40" s="133">
        <f>'857 - Discount Club (ITE)'!D22</f>
        <v>0.02</v>
      </c>
      <c r="T40" s="216">
        <f>'862-Home Improvement (ITE)'!D22</f>
        <v>3.8800000000000001E-2</v>
      </c>
      <c r="U40" s="216">
        <f>'875-Department Store (ITE)'!D22</f>
        <v>4.2999999999999997E-2</v>
      </c>
      <c r="V40" s="133">
        <f>'932 - HTSD Restaurant (ITE)'!D22</f>
        <v>4.7800000000000002E-2</v>
      </c>
      <c r="W40" s="133">
        <f>'934 - Fast-Food w Drive (ITE)'!D22</f>
        <v>4.6100000000000002E-2</v>
      </c>
      <c r="X40" s="216">
        <f>'945-Gas Station 2-4k (ITE)'!D22</f>
        <v>3.73E-2</v>
      </c>
      <c r="Y40" s="216">
        <f>'945-Gas Station 4-10k (ITE)'!D22</f>
        <v>2.6800000000000001E-2</v>
      </c>
      <c r="Z40" s="213" t="s">
        <v>165</v>
      </c>
    </row>
    <row r="41" spans="1:26" x14ac:dyDescent="0.2">
      <c r="A41" s="204" t="s">
        <v>186</v>
      </c>
      <c r="B41" s="217">
        <f>'110-Light Industrial (ITE)'!D23</f>
        <v>6.0000000000000001E-3</v>
      </c>
      <c r="C41" s="217">
        <f>'140-Manufacturing (ITE)'!D23</f>
        <v>0.1095</v>
      </c>
      <c r="D41" s="133">
        <f>'154 - High-Cube Warehouse (ITE)'!D23</f>
        <v>0.17120000000000002</v>
      </c>
      <c r="E41" s="216">
        <f>'210-Single Family (ITE)'!D23</f>
        <v>4.9800000000000004E-2</v>
      </c>
      <c r="F41" s="216">
        <f>'220-MultiFam HousingLR (ITE)'!D23</f>
        <v>9.1999999999999998E-2</v>
      </c>
      <c r="G41" s="133">
        <f>'430 - Golf Course (ITE)'!D23</f>
        <v>8.9999999999999993E-3</v>
      </c>
      <c r="H41" s="216" t="s">
        <v>165</v>
      </c>
      <c r="I41" s="216">
        <f>'495-Rec. Center (ITE)'!D23</f>
        <v>2.12E-2</v>
      </c>
      <c r="J41" s="216">
        <f>'525-High School (ITE)'!D23</f>
        <v>6.9000000000000008E-3</v>
      </c>
      <c r="K41" s="133">
        <f>'565 - Day Care (ITE)'!D23</f>
        <v>2.5000000000000001E-3</v>
      </c>
      <c r="L41" s="216">
        <f>'710-General Office (ITE)'!D23</f>
        <v>2.9300000000000003E-2</v>
      </c>
      <c r="M41" s="216" t="s">
        <v>165</v>
      </c>
      <c r="N41" s="133">
        <f>'813 - Discount Superstore (ITE)'!D23</f>
        <v>4.6100000000000002E-2</v>
      </c>
      <c r="O41" s="133">
        <f>'815 - Discount Store (ITE)'!D23</f>
        <v>4.0000000000000002E-4</v>
      </c>
      <c r="P41" s="133">
        <f>'820 - Shopping Center (ITE)'!D23</f>
        <v>2.2700000000000001E-2</v>
      </c>
      <c r="Q41" s="133">
        <f>'840-Car Dealership New (ITE)'!D23</f>
        <v>0</v>
      </c>
      <c r="R41" s="216">
        <f>'850-Supermarket (ITE)'!D23</f>
        <v>1.03E-2</v>
      </c>
      <c r="S41" s="133">
        <f>'857 - Discount Club (ITE)'!D23</f>
        <v>8.9999999999999993E-3</v>
      </c>
      <c r="T41" s="267" t="s">
        <v>165</v>
      </c>
      <c r="U41" s="216">
        <f>'875-Department Store (ITE)'!D23</f>
        <v>4.2999999999999997E-2</v>
      </c>
      <c r="V41" s="133">
        <f>'932 - HTSD Restaurant (ITE)'!D23</f>
        <v>6.3800000000000009E-2</v>
      </c>
      <c r="W41" s="133">
        <f>'934 - Fast-Food w Drive (ITE)'!D23</f>
        <v>7.51E-2</v>
      </c>
      <c r="X41" s="216">
        <f>'945-Gas Station 2-4k (ITE)'!D23</f>
        <v>0.10550000000000001</v>
      </c>
      <c r="Y41" s="216">
        <f>'945-Gas Station 4-10k (ITE)'!D23</f>
        <v>0.1207</v>
      </c>
      <c r="Z41" s="213" t="s">
        <v>165</v>
      </c>
    </row>
    <row r="42" spans="1:26" s="207" customFormat="1" x14ac:dyDescent="0.2">
      <c r="A42" s="206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2"/>
    </row>
    <row r="44" spans="1:26" x14ac:dyDescent="0.2">
      <c r="A44" s="242" t="s">
        <v>217</v>
      </c>
      <c r="B44" s="242"/>
    </row>
    <row r="45" spans="1:26" x14ac:dyDescent="0.2">
      <c r="A45" s="242"/>
      <c r="B45" s="242"/>
    </row>
    <row r="47" spans="1:26" x14ac:dyDescent="0.2">
      <c r="B47" s="219" t="s">
        <v>170</v>
      </c>
      <c r="C47" s="219" t="s">
        <v>215</v>
      </c>
      <c r="D47" s="266" t="s">
        <v>239</v>
      </c>
      <c r="E47" s="266" t="s">
        <v>241</v>
      </c>
      <c r="F47" s="266" t="s">
        <v>242</v>
      </c>
      <c r="G47" s="219" t="s">
        <v>218</v>
      </c>
      <c r="H47" s="266" t="s">
        <v>246</v>
      </c>
      <c r="I47" s="266" t="s">
        <v>219</v>
      </c>
      <c r="J47" s="266" t="s">
        <v>248</v>
      </c>
      <c r="K47" s="219" t="s">
        <v>220</v>
      </c>
      <c r="L47" s="219" t="s">
        <v>221</v>
      </c>
      <c r="M47" s="219" t="s">
        <v>222</v>
      </c>
      <c r="N47" s="266" t="s">
        <v>258</v>
      </c>
      <c r="O47" s="266" t="s">
        <v>257</v>
      </c>
      <c r="P47" s="266" t="s">
        <v>261</v>
      </c>
      <c r="Q47" s="266" t="s">
        <v>265</v>
      </c>
      <c r="R47" s="219" t="s">
        <v>223</v>
      </c>
      <c r="S47" s="219" t="s">
        <v>224</v>
      </c>
      <c r="T47" s="266" t="s">
        <v>274</v>
      </c>
      <c r="U47" s="266" t="s">
        <v>225</v>
      </c>
      <c r="V47" s="266" t="s">
        <v>279</v>
      </c>
      <c r="W47" s="266" t="s">
        <v>282</v>
      </c>
      <c r="X47" s="266" t="s">
        <v>288</v>
      </c>
      <c r="Y47" s="266" t="s">
        <v>289</v>
      </c>
      <c r="Z47" s="229" t="s">
        <v>230</v>
      </c>
    </row>
    <row r="48" spans="1:26" x14ac:dyDescent="0.2">
      <c r="B48" s="219" t="s">
        <v>38</v>
      </c>
      <c r="C48" s="219" t="s">
        <v>38</v>
      </c>
      <c r="D48" s="219" t="s">
        <v>38</v>
      </c>
      <c r="E48" s="219" t="s">
        <v>38</v>
      </c>
      <c r="F48" s="219" t="s">
        <v>38</v>
      </c>
      <c r="G48" s="219" t="s">
        <v>38</v>
      </c>
      <c r="H48" s="219" t="s">
        <v>38</v>
      </c>
      <c r="I48" s="219" t="s">
        <v>38</v>
      </c>
      <c r="J48" s="219" t="s">
        <v>38</v>
      </c>
      <c r="K48" s="219" t="s">
        <v>38</v>
      </c>
      <c r="L48" s="219" t="s">
        <v>38</v>
      </c>
      <c r="M48" s="219" t="s">
        <v>38</v>
      </c>
      <c r="N48" s="219" t="s">
        <v>38</v>
      </c>
      <c r="O48" s="219" t="s">
        <v>38</v>
      </c>
      <c r="P48" s="219" t="s">
        <v>38</v>
      </c>
      <c r="Q48" s="219" t="s">
        <v>38</v>
      </c>
      <c r="R48" s="219" t="s">
        <v>38</v>
      </c>
      <c r="S48" s="219" t="s">
        <v>38</v>
      </c>
      <c r="T48" s="219" t="s">
        <v>38</v>
      </c>
      <c r="U48" s="219" t="s">
        <v>38</v>
      </c>
      <c r="V48" s="219" t="s">
        <v>38</v>
      </c>
      <c r="W48" s="219" t="s">
        <v>38</v>
      </c>
      <c r="X48" s="219" t="s">
        <v>38</v>
      </c>
      <c r="Y48" s="219" t="s">
        <v>38</v>
      </c>
      <c r="Z48" s="219" t="s">
        <v>38</v>
      </c>
    </row>
    <row r="49" spans="1:26" x14ac:dyDescent="0.2">
      <c r="A49" s="129" t="s">
        <v>26</v>
      </c>
      <c r="B49" s="214">
        <f>'110 - Light Industrial (WisDOT)'!C7</f>
        <v>0.14499999999999999</v>
      </c>
      <c r="C49" s="214">
        <f>'140 - Manufacturing (WisDOT)'!C7</f>
        <v>7.5999999999999998E-2</v>
      </c>
      <c r="D49" s="216" t="s">
        <v>165</v>
      </c>
      <c r="E49" s="216">
        <f>'210 - Single Family (WisDOT)'!C7</f>
        <v>1.9E-2</v>
      </c>
      <c r="F49" s="216">
        <f>'220-MultiFam HousingLR (WisDOT)'!C7</f>
        <v>1.7999999999999999E-2</v>
      </c>
      <c r="G49" s="216" t="s">
        <v>165</v>
      </c>
      <c r="H49" s="216">
        <f>'&lt;445 - Movie Theater (WisDOT)&gt;'!C7</f>
        <v>6.0000000000000001E-3</v>
      </c>
      <c r="I49" s="216">
        <f>'495 - Rec. Center (WisDOT)'!C7</f>
        <v>0.03</v>
      </c>
      <c r="J49" s="216">
        <f>'525 - High School (WisDOT)'!C7</f>
        <v>0.08</v>
      </c>
      <c r="K49" s="216" t="s">
        <v>165</v>
      </c>
      <c r="L49" s="216">
        <f>'&lt;710 - General Office (WisDOT)&gt;'!C7</f>
        <v>0.13400000000000001</v>
      </c>
      <c r="M49" s="216">
        <f>'750 - Office Park (WisDOT)'!C7</f>
        <v>6.9000000000000006E-2</v>
      </c>
      <c r="N49" s="216" t="s">
        <v>165</v>
      </c>
      <c r="O49" s="216" t="s">
        <v>165</v>
      </c>
      <c r="P49" s="133">
        <f>'820 - Shopping Center, AM (WisD'!C7</f>
        <v>1.4999999999999999E-2</v>
      </c>
      <c r="Q49" s="133">
        <f>'&lt;841 - Car Dealership (WisDOT)&gt;'!C7</f>
        <v>3.6999999999999998E-2</v>
      </c>
      <c r="R49" s="216" t="str">
        <f>'850 - Supermarket (WisDOT)'!C7</f>
        <v>-</v>
      </c>
      <c r="S49" s="133">
        <f>'&lt;857 - Discount Club (WisDOT)&gt;'!C7</f>
        <v>3.1E-2</v>
      </c>
      <c r="T49" s="216">
        <f>'862 - Home Improvement (WisDOT)'!C7</f>
        <v>1.9E-2</v>
      </c>
      <c r="U49" s="216" t="s">
        <v>165</v>
      </c>
      <c r="V49" s="216" t="s">
        <v>165</v>
      </c>
      <c r="W49" s="133">
        <f>'&lt;934 - Fast Food (WisDOT)&gt;'!C7</f>
        <v>4.0000000000000001E-3</v>
      </c>
      <c r="X49" s="216">
        <f>'&lt;945 - Gas Station (WisDOT)&gt;'!C7</f>
        <v>4.2999999999999997E-2</v>
      </c>
      <c r="Y49" s="216">
        <f>'&lt;945 - Gas Station (WisDOT)&gt;'!C7</f>
        <v>4.2999999999999997E-2</v>
      </c>
      <c r="Z49" s="216">
        <f>'Medical (WisDOT)'!C7</f>
        <v>0.03</v>
      </c>
    </row>
    <row r="50" spans="1:26" x14ac:dyDescent="0.2">
      <c r="A50" s="129" t="s">
        <v>27</v>
      </c>
      <c r="B50" s="214">
        <f>'110 - Light Industrial (WisDOT)'!C8</f>
        <v>0.108</v>
      </c>
      <c r="C50" s="214">
        <f>'140 - Manufacturing (WisDOT)'!C8</f>
        <v>0.11700000000000001</v>
      </c>
      <c r="D50" s="216" t="s">
        <v>165</v>
      </c>
      <c r="E50" s="216">
        <f>'210 - Single Family (WisDOT)'!C8</f>
        <v>1.4999999999999999E-2</v>
      </c>
      <c r="F50" s="216">
        <f>'220-MultiFam HousingLR (WisDOT)'!C8</f>
        <v>4.1000000000000002E-2</v>
      </c>
      <c r="G50" s="216" t="s">
        <v>165</v>
      </c>
      <c r="H50" s="216">
        <f>'&lt;445 - Movie Theater (WisDOT)&gt;'!C8</f>
        <v>5.0000000000000001E-3</v>
      </c>
      <c r="I50" s="216">
        <f>'495 - Rec. Center (WisDOT)'!C8</f>
        <v>4.7E-2</v>
      </c>
      <c r="J50" s="216">
        <f>'525 - High School (WisDOT)'!C8</f>
        <v>0.32608764940239043</v>
      </c>
      <c r="K50" s="216" t="s">
        <v>165</v>
      </c>
      <c r="L50" s="216">
        <f>'&lt;710 - General Office (WisDOT)&gt;'!C8</f>
        <v>0.20200000000000001</v>
      </c>
      <c r="M50" s="216">
        <f>'750 - Office Park (WisDOT)'!C8</f>
        <v>0.156</v>
      </c>
      <c r="N50" s="216" t="s">
        <v>165</v>
      </c>
      <c r="O50" s="216" t="s">
        <v>165</v>
      </c>
      <c r="P50" s="133">
        <f>'820 - Shopping Center, AM (WisD'!C8</f>
        <v>2.5000000000000001E-2</v>
      </c>
      <c r="Q50" s="133">
        <f>'&lt;841 - Car Dealership (WisDOT)&gt;'!C8</f>
        <v>5.6000000000000001E-2</v>
      </c>
      <c r="R50" s="216">
        <f>'850 - Supermarket (WisDOT)'!C8</f>
        <v>1.8127799999999999E-2</v>
      </c>
      <c r="S50" s="133">
        <f>'&lt;857 - Discount Club (WisDOT)&gt;'!C8</f>
        <v>4.1000000000000002E-2</v>
      </c>
      <c r="T50" s="216">
        <f>'862 - Home Improvement (WisDOT)'!C8</f>
        <v>3.5000000000000003E-2</v>
      </c>
      <c r="U50" s="216" t="s">
        <v>165</v>
      </c>
      <c r="V50" s="216" t="s">
        <v>165</v>
      </c>
      <c r="W50" s="133">
        <f>'&lt;934 - Fast Food (WisDOT)&gt;'!C8</f>
        <v>4.0000000000000001E-3</v>
      </c>
      <c r="X50" s="216">
        <f>'&lt;945 - Gas Station (WisDOT)&gt;'!C8</f>
        <v>7.9000000000000001E-2</v>
      </c>
      <c r="Y50" s="216">
        <f>'&lt;945 - Gas Station (WisDOT)&gt;'!C8</f>
        <v>7.9000000000000001E-2</v>
      </c>
      <c r="Z50" s="216">
        <f>'Medical (WisDOT)'!C8</f>
        <v>0.1</v>
      </c>
    </row>
    <row r="51" spans="1:26" x14ac:dyDescent="0.2">
      <c r="A51" s="129" t="s">
        <v>28</v>
      </c>
      <c r="B51" s="214">
        <f>'110 - Light Industrial (WisDOT)'!C9</f>
        <v>6.9000000000000006E-2</v>
      </c>
      <c r="C51" s="214">
        <f>'140 - Manufacturing (WisDOT)'!C9</f>
        <v>6.6000000000000003E-2</v>
      </c>
      <c r="D51" s="216" t="s">
        <v>165</v>
      </c>
      <c r="E51" s="216">
        <f>'210 - Single Family (WisDOT)'!C9</f>
        <v>2.9000000000000001E-2</v>
      </c>
      <c r="F51" s="216">
        <f>'220-MultiFam HousingLR (WisDOT)'!C9</f>
        <v>4.5999999999999999E-2</v>
      </c>
      <c r="G51" s="216" t="s">
        <v>165</v>
      </c>
      <c r="H51" s="216">
        <f>'&lt;445 - Movie Theater (WisDOT)&gt;'!C9</f>
        <v>8.9999999999999993E-3</v>
      </c>
      <c r="I51" s="216">
        <f>'495 - Rec. Center (WisDOT)'!C9</f>
        <v>7.9000000000000001E-2</v>
      </c>
      <c r="J51" s="216">
        <f>'525 - High School (WisDOT)'!C9</f>
        <v>2.0069942452412573E-2</v>
      </c>
      <c r="K51" s="216" t="s">
        <v>165</v>
      </c>
      <c r="L51" s="216">
        <f>'&lt;710 - General Office (WisDOT)&gt;'!C9</f>
        <v>0.19500000000000001</v>
      </c>
      <c r="M51" s="216">
        <f>'750 - Office Park (WisDOT)'!C9</f>
        <v>0.13</v>
      </c>
      <c r="N51" s="216" t="s">
        <v>165</v>
      </c>
      <c r="O51" s="216" t="s">
        <v>165</v>
      </c>
      <c r="P51" s="133">
        <f>'820 - Shopping Center, AM (WisD'!C9</f>
        <v>3.9E-2</v>
      </c>
      <c r="Q51" s="133">
        <f>'&lt;841 - Car Dealership (WisDOT)&gt;'!C9</f>
        <v>6.5000000000000002E-2</v>
      </c>
      <c r="R51" s="216">
        <f>'850 - Supermarket (WisDOT)'!C9</f>
        <v>2.7452799999999999E-2</v>
      </c>
      <c r="S51" s="133">
        <f>'&lt;857 - Discount Club (WisDOT)&gt;'!C9</f>
        <v>5.8000000000000003E-2</v>
      </c>
      <c r="T51" s="216">
        <f>'862 - Home Improvement (WisDOT)'!C9</f>
        <v>4.9000000000000002E-2</v>
      </c>
      <c r="U51" s="216" t="s">
        <v>165</v>
      </c>
      <c r="V51" s="216" t="s">
        <v>165</v>
      </c>
      <c r="W51" s="133">
        <f>'&lt;934 - Fast Food (WisDOT)&gt;'!C9</f>
        <v>2.5000000000000001E-2</v>
      </c>
      <c r="X51" s="216">
        <f>'&lt;945 - Gas Station (WisDOT)&gt;'!C9</f>
        <v>5.8000000000000003E-2</v>
      </c>
      <c r="Y51" s="216">
        <f>'&lt;945 - Gas Station (WisDOT)&gt;'!C9</f>
        <v>5.8000000000000003E-2</v>
      </c>
      <c r="Z51" s="216">
        <f>'Medical (WisDOT)'!C9</f>
        <v>7.4999999999999997E-2</v>
      </c>
    </row>
    <row r="52" spans="1:26" x14ac:dyDescent="0.2">
      <c r="A52" s="129" t="s">
        <v>29</v>
      </c>
      <c r="B52" s="214">
        <f>'110 - Light Industrial (WisDOT)'!C10</f>
        <v>3.6999999999999998E-2</v>
      </c>
      <c r="C52" s="214">
        <f>'140 - Manufacturing (WisDOT)'!C10</f>
        <v>0.04</v>
      </c>
      <c r="D52" s="216" t="s">
        <v>165</v>
      </c>
      <c r="E52" s="216">
        <f>'210 - Single Family (WisDOT)'!C10</f>
        <v>3.6999999999999998E-2</v>
      </c>
      <c r="F52" s="216">
        <f>'220-MultiFam HousingLR (WisDOT)'!C10</f>
        <v>4.8000000000000001E-2</v>
      </c>
      <c r="G52" s="216" t="s">
        <v>165</v>
      </c>
      <c r="H52" s="216">
        <f>'&lt;445 - Movie Theater (WisDOT)&gt;'!C10</f>
        <v>7.0000000000000001E-3</v>
      </c>
      <c r="I52" s="216">
        <f>'495 - Rec. Center (WisDOT)'!C10</f>
        <v>6.7000000000000004E-2</v>
      </c>
      <c r="J52" s="216">
        <f>'525 - High School (WisDOT)'!C10</f>
        <v>2.2736609119079199E-2</v>
      </c>
      <c r="K52" s="216" t="s">
        <v>165</v>
      </c>
      <c r="L52" s="216">
        <f>'&lt;710 - General Office (WisDOT)&gt;'!C10</f>
        <v>7.9000000000000001E-2</v>
      </c>
      <c r="M52" s="216">
        <f>'750 - Office Park (WisDOT)'!C10</f>
        <v>4.5999999999999999E-2</v>
      </c>
      <c r="N52" s="216" t="s">
        <v>165</v>
      </c>
      <c r="O52" s="216" t="s">
        <v>165</v>
      </c>
      <c r="P52" s="133">
        <f>'820 - Shopping Center, AM (WisD'!C10</f>
        <v>5.5E-2</v>
      </c>
      <c r="Q52" s="133">
        <f>'&lt;841 - Car Dealership (WisDOT)&gt;'!C10</f>
        <v>6.8000000000000005E-2</v>
      </c>
      <c r="R52" s="216">
        <f>'850 - Supermarket (WisDOT)'!C10</f>
        <v>3.7150799999999998E-2</v>
      </c>
      <c r="S52" s="133">
        <f>'&lt;857 - Discount Club (WisDOT)&gt;'!C10</f>
        <v>5.8000000000000003E-2</v>
      </c>
      <c r="T52" s="216">
        <f>'862 - Home Improvement (WisDOT)'!C10</f>
        <v>5.3999999999999999E-2</v>
      </c>
      <c r="U52" s="216" t="s">
        <v>165</v>
      </c>
      <c r="V52" s="216" t="s">
        <v>165</v>
      </c>
      <c r="W52" s="133">
        <f>'&lt;934 - Fast Food (WisDOT)&gt;'!C10</f>
        <v>1.2E-2</v>
      </c>
      <c r="X52" s="216">
        <f>'&lt;945 - Gas Station (WisDOT)&gt;'!C10</f>
        <v>0.06</v>
      </c>
      <c r="Y52" s="216">
        <f>'&lt;945 - Gas Station (WisDOT)&gt;'!C10</f>
        <v>0.06</v>
      </c>
      <c r="Z52" s="216">
        <f>'Medical (WisDOT)'!C10</f>
        <v>7.4999999999999997E-2</v>
      </c>
    </row>
    <row r="53" spans="1:26" x14ac:dyDescent="0.2">
      <c r="A53" s="129" t="s">
        <v>30</v>
      </c>
      <c r="B53" s="214">
        <f>'110 - Light Industrial (WisDOT)'!C11</f>
        <v>3.5000000000000003E-2</v>
      </c>
      <c r="C53" s="214">
        <f>'140 - Manufacturing (WisDOT)'!C11</f>
        <v>0.04</v>
      </c>
      <c r="D53" s="216" t="s">
        <v>165</v>
      </c>
      <c r="E53" s="216">
        <f>'210 - Single Family (WisDOT)'!C11</f>
        <v>4.2999999999999997E-2</v>
      </c>
      <c r="F53" s="216">
        <f>'220-MultiFam HousingLR (WisDOT)'!C11</f>
        <v>0.04</v>
      </c>
      <c r="G53" s="216" t="s">
        <v>165</v>
      </c>
      <c r="H53" s="216">
        <f>'&lt;445 - Movie Theater (WisDOT)&gt;'!C11</f>
        <v>2.1999999999999999E-2</v>
      </c>
      <c r="I53" s="216">
        <f>'495 - Rec. Center (WisDOT)'!C11</f>
        <v>6.2E-2</v>
      </c>
      <c r="J53" s="216">
        <f>'525 - High School (WisDOT)'!C11</f>
        <v>1.785834440017707E-2</v>
      </c>
      <c r="K53" s="216" t="s">
        <v>165</v>
      </c>
      <c r="L53" s="216">
        <f>'&lt;710 - General Office (WisDOT)&gt;'!C11</f>
        <v>2.5999999999999999E-2</v>
      </c>
      <c r="M53" s="216">
        <f>'750 - Office Park (WisDOT)'!C11</f>
        <v>4.3999999999999997E-2</v>
      </c>
      <c r="N53" s="216" t="s">
        <v>165</v>
      </c>
      <c r="O53" s="216" t="s">
        <v>165</v>
      </c>
      <c r="P53" s="216" t="s">
        <v>165</v>
      </c>
      <c r="Q53" s="133">
        <f>'&lt;841 - Car Dealership (WisDOT)&gt;'!C11</f>
        <v>6.6000000000000003E-2</v>
      </c>
      <c r="R53" s="216">
        <f>'850 - Supermarket (WisDOT)'!C11</f>
        <v>4.4386999999999996E-2</v>
      </c>
      <c r="S53" s="133">
        <f>'&lt;857 - Discount Club (WisDOT)&gt;'!C11</f>
        <v>7.0999999999999994E-2</v>
      </c>
      <c r="T53" s="216">
        <f>'862 - Home Improvement (WisDOT)'!C11</f>
        <v>6.6000000000000003E-2</v>
      </c>
      <c r="U53" s="216" t="s">
        <v>165</v>
      </c>
      <c r="V53" s="216" t="s">
        <v>165</v>
      </c>
      <c r="W53" s="133">
        <f>'&lt;934 - Fast Food (WisDOT)&gt;'!C11</f>
        <v>3.3000000000000002E-2</v>
      </c>
      <c r="X53" s="216">
        <f>'&lt;945 - Gas Station (WisDOT)&gt;'!C11</f>
        <v>4.4999999999999998E-2</v>
      </c>
      <c r="Y53" s="216">
        <f>'&lt;945 - Gas Station (WisDOT)&gt;'!C11</f>
        <v>4.4999999999999998E-2</v>
      </c>
      <c r="Z53" s="216">
        <f>'Medical (WisDOT)'!C11</f>
        <v>8.5000000000000006E-2</v>
      </c>
    </row>
    <row r="54" spans="1:26" x14ac:dyDescent="0.2">
      <c r="A54" s="129" t="s">
        <v>37</v>
      </c>
      <c r="B54" s="214">
        <f>'110 - Light Industrial (WisDOT)'!C12</f>
        <v>4.7E-2</v>
      </c>
      <c r="C54" s="214">
        <f>'140 - Manufacturing (WisDOT)'!C12</f>
        <v>5.1999999999999998E-2</v>
      </c>
      <c r="D54" s="216" t="s">
        <v>165</v>
      </c>
      <c r="E54" s="216">
        <f>'210 - Single Family (WisDOT)'!C12</f>
        <v>7.0000000000000007E-2</v>
      </c>
      <c r="F54" s="216">
        <f>'220-MultiFam HousingLR (WisDOT)'!C12</f>
        <v>5.1999999999999998E-2</v>
      </c>
      <c r="G54" s="216" t="s">
        <v>165</v>
      </c>
      <c r="H54" s="216">
        <f>'&lt;445 - Movie Theater (WisDOT)&gt;'!C12</f>
        <v>0.11</v>
      </c>
      <c r="I54" s="216">
        <f>'495 - Rec. Center (WisDOT)'!C12</f>
        <v>5.3999999999999999E-2</v>
      </c>
      <c r="J54" s="216">
        <f>'525 - High School (WisDOT)'!C12</f>
        <v>1.9073926516157594E-2</v>
      </c>
      <c r="K54" s="216" t="s">
        <v>165</v>
      </c>
      <c r="L54" s="216">
        <f>'&lt;710 - General Office (WisDOT)&gt;'!C12</f>
        <v>2.8000000000000001E-2</v>
      </c>
      <c r="M54" s="216">
        <f>'750 - Office Park (WisDOT)'!C12</f>
        <v>4.5999999999999999E-2</v>
      </c>
      <c r="N54" s="216" t="s">
        <v>165</v>
      </c>
      <c r="O54" s="216" t="s">
        <v>165</v>
      </c>
      <c r="P54" s="216" t="s">
        <v>165</v>
      </c>
      <c r="Q54" s="133">
        <f>'&lt;841 - Car Dealership (WisDOT)&gt;'!C12</f>
        <v>6.3E-2</v>
      </c>
      <c r="R54" s="216">
        <f>'850 - Supermarket (WisDOT)'!C12</f>
        <v>5.4457999999999999E-2</v>
      </c>
      <c r="S54" s="133">
        <f>'&lt;857 - Discount Club (WisDOT)&gt;'!C12</f>
        <v>6.7000000000000004E-2</v>
      </c>
      <c r="T54" s="216">
        <f>'862 - Home Improvement (WisDOT)'!C12</f>
        <v>9.2999999999999999E-2</v>
      </c>
      <c r="U54" s="216" t="s">
        <v>165</v>
      </c>
      <c r="V54" s="216" t="s">
        <v>165</v>
      </c>
      <c r="W54" s="133">
        <f>'&lt;934 - Fast Food (WisDOT)&gt;'!C12</f>
        <v>0.115</v>
      </c>
      <c r="X54" s="216">
        <f>'&lt;945 - Gas Station (WisDOT)&gt;'!C12</f>
        <v>6.6000000000000003E-2</v>
      </c>
      <c r="Y54" s="216">
        <f>'&lt;945 - Gas Station (WisDOT)&gt;'!C12</f>
        <v>6.6000000000000003E-2</v>
      </c>
      <c r="Z54" s="216">
        <f>'Medical (WisDOT)'!C12</f>
        <v>0.11</v>
      </c>
    </row>
    <row r="55" spans="1:26" x14ac:dyDescent="0.2">
      <c r="A55" s="129" t="s">
        <v>31</v>
      </c>
      <c r="B55" s="214">
        <f>'110 - Light Industrial (WisDOT)'!C13</f>
        <v>7.0000000000000007E-2</v>
      </c>
      <c r="C55" s="214">
        <f>'140 - Manufacturing (WisDOT)'!C13</f>
        <v>8.2000000000000003E-2</v>
      </c>
      <c r="D55" s="216" t="s">
        <v>165</v>
      </c>
      <c r="E55" s="216">
        <f>'210 - Single Family (WisDOT)'!C13</f>
        <v>7.0999999999999994E-2</v>
      </c>
      <c r="F55" s="216">
        <f>'220-MultiFam HousingLR (WisDOT)'!C13</f>
        <v>7.0000000000000007E-2</v>
      </c>
      <c r="G55" s="216" t="s">
        <v>165</v>
      </c>
      <c r="H55" s="216">
        <f>'&lt;445 - Movie Theater (WisDOT)&gt;'!C13</f>
        <v>8.4000000000000005E-2</v>
      </c>
      <c r="I55" s="216">
        <f>'495 - Rec. Center (WisDOT)'!C13</f>
        <v>5.3999999999999999E-2</v>
      </c>
      <c r="J55" s="216">
        <f>'525 - High School (WisDOT)'!C13</f>
        <v>3.1946879150066401E-2</v>
      </c>
      <c r="K55" s="216" t="s">
        <v>165</v>
      </c>
      <c r="L55" s="216">
        <f>'&lt;710 - General Office (WisDOT)&gt;'!C13</f>
        <v>2.9000000000000001E-2</v>
      </c>
      <c r="M55" s="216">
        <f>'750 - Office Park (WisDOT)'!C13</f>
        <v>8.6999999999999994E-2</v>
      </c>
      <c r="N55" s="216" t="s">
        <v>165</v>
      </c>
      <c r="O55" s="216" t="s">
        <v>165</v>
      </c>
      <c r="P55" s="216" t="s">
        <v>165</v>
      </c>
      <c r="Q55" s="133">
        <f>'&lt;841 - Car Dealership (WisDOT)&gt;'!C13</f>
        <v>8.3000000000000004E-2</v>
      </c>
      <c r="R55" s="216">
        <f>'850 - Supermarket (WisDOT)'!C13</f>
        <v>6.5498799999999996E-2</v>
      </c>
      <c r="S55" s="133">
        <f>'&lt;857 - Discount Club (WisDOT)&gt;'!C13</f>
        <v>0.1</v>
      </c>
      <c r="T55" s="216">
        <f>'862 - Home Improvement (WisDOT)'!C13</f>
        <v>0.105</v>
      </c>
      <c r="U55" s="216" t="s">
        <v>165</v>
      </c>
      <c r="V55" s="216" t="s">
        <v>165</v>
      </c>
      <c r="W55" s="133">
        <f>'&lt;934 - Fast Food (WisDOT)&gt;'!C13</f>
        <v>0.17299999999999999</v>
      </c>
      <c r="X55" s="216">
        <f>'&lt;945 - Gas Station (WisDOT)&gt;'!C13</f>
        <v>6.9000000000000006E-2</v>
      </c>
      <c r="Y55" s="216">
        <f>'&lt;945 - Gas Station (WisDOT)&gt;'!C13</f>
        <v>6.9000000000000006E-2</v>
      </c>
      <c r="Z55" s="216">
        <f>'Medical (WisDOT)'!C13</f>
        <v>0.09</v>
      </c>
    </row>
    <row r="56" spans="1:26" x14ac:dyDescent="0.2">
      <c r="A56" s="129" t="s">
        <v>32</v>
      </c>
      <c r="B56" s="214">
        <f>'110 - Light Industrial (WisDOT)'!C14</f>
        <v>5.5E-2</v>
      </c>
      <c r="C56" s="214">
        <f>'140 - Manufacturing (WisDOT)'!C14</f>
        <v>6.8000000000000005E-2</v>
      </c>
      <c r="D56" s="216" t="s">
        <v>165</v>
      </c>
      <c r="E56" s="216">
        <f>'210 - Single Family (WisDOT)'!C14</f>
        <v>5.8999999999999997E-2</v>
      </c>
      <c r="F56" s="216">
        <f>'220-MultiFam HousingLR (WisDOT)'!C14</f>
        <v>8.8999999999999996E-2</v>
      </c>
      <c r="G56" s="216" t="s">
        <v>165</v>
      </c>
      <c r="H56" s="216">
        <f>'&lt;445 - Movie Theater (WisDOT)&gt;'!C14</f>
        <v>6.5000000000000002E-2</v>
      </c>
      <c r="I56" s="216">
        <f>'495 - Rec. Center (WisDOT)'!C14</f>
        <v>4.5999999999999999E-2</v>
      </c>
      <c r="J56" s="216">
        <f>'525 - High School (WisDOT)'!C14</f>
        <v>2.2404603806994244E-2</v>
      </c>
      <c r="K56" s="216" t="s">
        <v>165</v>
      </c>
      <c r="L56" s="216">
        <f>'&lt;710 - General Office (WisDOT)&gt;'!C14</f>
        <v>0.03</v>
      </c>
      <c r="M56" s="216">
        <f>'750 - Office Park (WisDOT)'!C14</f>
        <v>8.1000000000000003E-2</v>
      </c>
      <c r="N56" s="216" t="s">
        <v>165</v>
      </c>
      <c r="O56" s="216" t="s">
        <v>165</v>
      </c>
      <c r="P56" s="216" t="s">
        <v>165</v>
      </c>
      <c r="Q56" s="133">
        <f>'&lt;841 - Car Dealership (WisDOT)&gt;'!C14</f>
        <v>7.3999999999999996E-2</v>
      </c>
      <c r="R56" s="216">
        <f>'850 - Supermarket (WisDOT)'!C14</f>
        <v>6.1694199999999998E-2</v>
      </c>
      <c r="S56" s="133">
        <f>'&lt;857 - Discount Club (WisDOT)&gt;'!C14</f>
        <v>8.5999999999999993E-2</v>
      </c>
      <c r="T56" s="216">
        <f>'862 - Home Improvement (WisDOT)'!C14</f>
        <v>0.08</v>
      </c>
      <c r="U56" s="216" t="s">
        <v>165</v>
      </c>
      <c r="V56" s="216" t="s">
        <v>165</v>
      </c>
      <c r="W56" s="133">
        <f>'&lt;934 - Fast Food (WisDOT)&gt;'!C14</f>
        <v>7.3999999999999996E-2</v>
      </c>
      <c r="X56" s="216">
        <f>'&lt;945 - Gas Station (WisDOT)&gt;'!C14</f>
        <v>4.8000000000000001E-2</v>
      </c>
      <c r="Y56" s="216">
        <f>'&lt;945 - Gas Station (WisDOT)&gt;'!C14</f>
        <v>4.8000000000000001E-2</v>
      </c>
      <c r="Z56" s="216">
        <f>'Medical (WisDOT)'!C14</f>
        <v>0.11</v>
      </c>
    </row>
    <row r="57" spans="1:26" x14ac:dyDescent="0.2">
      <c r="A57" s="129" t="s">
        <v>33</v>
      </c>
      <c r="B57" s="214">
        <f>'110 - Light Industrial (WisDOT)'!C15</f>
        <v>6.7000000000000004E-2</v>
      </c>
      <c r="C57" s="214">
        <f>'140 - Manufacturing (WisDOT)'!C15</f>
        <v>7.0000000000000007E-2</v>
      </c>
      <c r="D57" s="216" t="s">
        <v>165</v>
      </c>
      <c r="E57" s="216">
        <f>'210 - Single Family (WisDOT)'!C15</f>
        <v>0.08</v>
      </c>
      <c r="F57" s="216">
        <f>'220-MultiFam HousingLR (WisDOT)'!C15</f>
        <v>8.1000000000000003E-2</v>
      </c>
      <c r="G57" s="216" t="s">
        <v>165</v>
      </c>
      <c r="H57" s="216">
        <f>'&lt;445 - Movie Theater (WisDOT)&gt;'!C15</f>
        <v>4.5999999999999999E-2</v>
      </c>
      <c r="I57" s="216">
        <f>'495 - Rec. Center (WisDOT)'!C15</f>
        <v>5.6000000000000001E-2</v>
      </c>
      <c r="J57" s="216">
        <f>'525 - High School (WisDOT)'!C15</f>
        <v>0.1</v>
      </c>
      <c r="K57" s="216" t="s">
        <v>165</v>
      </c>
      <c r="L57" s="216">
        <f>'&lt;710 - General Office (WisDOT)&gt;'!C15</f>
        <v>0.02</v>
      </c>
      <c r="M57" s="216">
        <f>'750 - Office Park (WisDOT)'!C15</f>
        <v>5.5E-2</v>
      </c>
      <c r="N57" s="216" t="s">
        <v>165</v>
      </c>
      <c r="O57" s="216" t="s">
        <v>165</v>
      </c>
      <c r="P57" s="216" t="s">
        <v>165</v>
      </c>
      <c r="Q57" s="133">
        <f>'&lt;841 - Car Dealership (WisDOT)&gt;'!C15</f>
        <v>6.9000000000000006E-2</v>
      </c>
      <c r="R57" s="216">
        <f>'850 - Supermarket (WisDOT)'!C15</f>
        <v>7.3928599999999997E-2</v>
      </c>
      <c r="S57" s="133">
        <f>'&lt;857 - Discount Club (WisDOT)&gt;'!C15</f>
        <v>7.4999999999999997E-2</v>
      </c>
      <c r="T57" s="216">
        <f>'862 - Home Improvement (WisDOT)'!C15</f>
        <v>7.6999999999999999E-2</v>
      </c>
      <c r="U57" s="216" t="s">
        <v>165</v>
      </c>
      <c r="V57" s="216" t="s">
        <v>165</v>
      </c>
      <c r="W57" s="133">
        <f>'&lt;934 - Fast Food (WisDOT)&gt;'!C15</f>
        <v>3.3000000000000002E-2</v>
      </c>
      <c r="X57" s="216">
        <f>'&lt;945 - Gas Station (WisDOT)&gt;'!C15</f>
        <v>6.8000000000000005E-2</v>
      </c>
      <c r="Y57" s="216">
        <f>'&lt;945 - Gas Station (WisDOT)&gt;'!C15</f>
        <v>6.8000000000000005E-2</v>
      </c>
      <c r="Z57" s="216">
        <f>'Medical (WisDOT)'!C15</f>
        <v>7.0000000000000007E-2</v>
      </c>
    </row>
    <row r="58" spans="1:26" x14ac:dyDescent="0.2">
      <c r="A58" s="129" t="s">
        <v>34</v>
      </c>
      <c r="B58" s="214">
        <f>'110 - Light Industrial (WisDOT)'!C16</f>
        <v>6.3E-2</v>
      </c>
      <c r="C58" s="214">
        <f>'140 - Manufacturing (WisDOT)'!C16</f>
        <v>3.1E-2</v>
      </c>
      <c r="D58" s="216" t="s">
        <v>165</v>
      </c>
      <c r="E58" s="216">
        <f>'210 - Single Family (WisDOT)'!C16</f>
        <v>0.10199999999999999</v>
      </c>
      <c r="F58" s="216">
        <f>'220-MultiFam HousingLR (WisDOT)'!C16</f>
        <v>9.0999999999999998E-2</v>
      </c>
      <c r="G58" s="216" t="s">
        <v>165</v>
      </c>
      <c r="H58" s="216">
        <f>'&lt;445 - Movie Theater (WisDOT)&gt;'!C16</f>
        <v>4.2000000000000003E-2</v>
      </c>
      <c r="I58" s="216">
        <f>'495 - Rec. Center (WisDOT)'!C16</f>
        <v>8.8999999999999996E-2</v>
      </c>
      <c r="J58" s="216">
        <f>'525 - High School (WisDOT)'!C16</f>
        <v>4.188579017264276E-2</v>
      </c>
      <c r="K58" s="216" t="s">
        <v>165</v>
      </c>
      <c r="L58" s="216">
        <f>'&lt;710 - General Office (WisDOT)&gt;'!C16</f>
        <v>2.1999999999999999E-2</v>
      </c>
      <c r="M58" s="216">
        <f>'750 - Office Park (WisDOT)'!C16</f>
        <v>4.1000000000000002E-2</v>
      </c>
      <c r="N58" s="216" t="s">
        <v>165</v>
      </c>
      <c r="O58" s="216" t="s">
        <v>165</v>
      </c>
      <c r="P58" s="216" t="s">
        <v>165</v>
      </c>
      <c r="Q58" s="133">
        <f>'&lt;841 - Car Dealership (WisDOT)&gt;'!C16</f>
        <v>7.3999999999999996E-2</v>
      </c>
      <c r="R58" s="216">
        <f>'850 - Supermarket (WisDOT)'!C16</f>
        <v>8.9967599999999995E-2</v>
      </c>
      <c r="S58" s="133">
        <f>'&lt;857 - Discount Club (WisDOT)&gt;'!C16</f>
        <v>0.08</v>
      </c>
      <c r="T58" s="216">
        <f>'862 - Home Improvement (WisDOT)'!C16</f>
        <v>6.2E-2</v>
      </c>
      <c r="U58" s="216" t="s">
        <v>165</v>
      </c>
      <c r="V58" s="216" t="s">
        <v>165</v>
      </c>
      <c r="W58" s="133">
        <f>'&lt;934 - Fast Food (WisDOT)&gt;'!C16</f>
        <v>5.8000000000000003E-2</v>
      </c>
      <c r="X58" s="216">
        <f>'&lt;945 - Gas Station (WisDOT)&gt;'!C16</f>
        <v>7.9000000000000001E-2</v>
      </c>
      <c r="Y58" s="216">
        <f>'&lt;945 - Gas Station (WisDOT)&gt;'!C16</f>
        <v>7.9000000000000001E-2</v>
      </c>
      <c r="Z58" s="216">
        <f>'Medical (WisDOT)'!C16</f>
        <v>3.8047650107081249E-2</v>
      </c>
    </row>
    <row r="59" spans="1:26" x14ac:dyDescent="0.2">
      <c r="A59" s="129" t="s">
        <v>35</v>
      </c>
      <c r="B59" s="214">
        <f>'110 - Light Industrial (WisDOT)'!C17</f>
        <v>3.6999999999999998E-2</v>
      </c>
      <c r="C59" s="214">
        <f>'140 - Manufacturing (WisDOT)'!C17</f>
        <v>3.3000000000000002E-2</v>
      </c>
      <c r="D59" s="216" t="s">
        <v>165</v>
      </c>
      <c r="E59" s="216">
        <f>'210 - Single Family (WisDOT)'!C17</f>
        <v>0.13800000000000001</v>
      </c>
      <c r="F59" s="216">
        <f>'220-MultiFam HousingLR (WisDOT)'!C17</f>
        <v>9.8000000000000004E-2</v>
      </c>
      <c r="G59" s="216" t="s">
        <v>165</v>
      </c>
      <c r="H59" s="216">
        <f>'&lt;445 - Movie Theater (WisDOT)&gt;'!C17</f>
        <v>0.06</v>
      </c>
      <c r="I59" s="216">
        <f>'495 - Rec. Center (WisDOT)'!C17</f>
        <v>9.9000000000000005E-2</v>
      </c>
      <c r="J59" s="216">
        <f>'525 - High School (WisDOT)'!C17</f>
        <v>4.7015493581230632E-2</v>
      </c>
      <c r="K59" s="216" t="s">
        <v>165</v>
      </c>
      <c r="L59" s="216">
        <f>'&lt;710 - General Office (WisDOT)&gt;'!C17</f>
        <v>1.6E-2</v>
      </c>
      <c r="M59" s="216">
        <f>'750 - Office Park (WisDOT)'!C17</f>
        <v>3.5000000000000003E-2</v>
      </c>
      <c r="N59" s="216" t="s">
        <v>165</v>
      </c>
      <c r="O59" s="216" t="s">
        <v>165</v>
      </c>
      <c r="P59" s="216" t="s">
        <v>165</v>
      </c>
      <c r="Q59" s="133">
        <f>'&lt;841 - Car Dealership (WisDOT)&gt;'!C17</f>
        <v>8.3000000000000004E-2</v>
      </c>
      <c r="R59" s="216">
        <f>'850 - Supermarket (WisDOT)'!C17</f>
        <v>0.1047384</v>
      </c>
      <c r="S59" s="133">
        <f>'&lt;857 - Discount Club (WisDOT)&gt;'!C17</f>
        <v>6.6000000000000003E-2</v>
      </c>
      <c r="T59" s="216">
        <f>'862 - Home Improvement (WisDOT)'!C17</f>
        <v>6.5000000000000002E-2</v>
      </c>
      <c r="U59" s="216" t="s">
        <v>165</v>
      </c>
      <c r="V59" s="216" t="s">
        <v>165</v>
      </c>
      <c r="W59" s="133">
        <f>'&lt;934 - Fast Food (WisDOT)&gt;'!C17</f>
        <v>8.5999999999999993E-2</v>
      </c>
      <c r="X59" s="216">
        <f>'&lt;945 - Gas Station (WisDOT)&gt;'!C17</f>
        <v>7.1999999999999995E-2</v>
      </c>
      <c r="Y59" s="216">
        <f>'&lt;945 - Gas Station (WisDOT)&gt;'!C17</f>
        <v>7.1999999999999995E-2</v>
      </c>
      <c r="Z59" s="216">
        <f>'Medical (WisDOT)'!C17</f>
        <v>0.03</v>
      </c>
    </row>
    <row r="60" spans="1:26" x14ac:dyDescent="0.2">
      <c r="A60" s="129" t="s">
        <v>36</v>
      </c>
      <c r="B60" s="214">
        <f>'110 - Light Industrial (WisDOT)'!C18</f>
        <v>2.8000000000000001E-2</v>
      </c>
      <c r="C60" s="214">
        <f>'140 - Manufacturing (WisDOT)'!C18</f>
        <v>2.1999999999999999E-2</v>
      </c>
      <c r="D60" s="216" t="s">
        <v>165</v>
      </c>
      <c r="E60" s="216">
        <f>'210 - Single Family (WisDOT)'!C18</f>
        <v>0.13600000000000001</v>
      </c>
      <c r="F60" s="216">
        <f>'220-MultiFam HousingLR (WisDOT)'!C18</f>
        <v>0.14799999999999999</v>
      </c>
      <c r="G60" s="216" t="s">
        <v>165</v>
      </c>
      <c r="H60" s="216">
        <f>'&lt;445 - Movie Theater (WisDOT)&gt;'!C18</f>
        <v>7.9000000000000001E-2</v>
      </c>
      <c r="I60" s="216">
        <f>'495 - Rec. Center (WisDOT)'!C18</f>
        <v>0.14399999999999999</v>
      </c>
      <c r="J60" s="216">
        <f>'525 - High School (WisDOT)'!C18</f>
        <v>5.9877822045152726E-2</v>
      </c>
      <c r="K60" s="216" t="s">
        <v>165</v>
      </c>
      <c r="L60" s="216">
        <f>'&lt;710 - General Office (WisDOT)&gt;'!C18</f>
        <v>1.4E-2</v>
      </c>
      <c r="M60" s="216">
        <f>'750 - Office Park (WisDOT)'!C18</f>
        <v>4.8000000000000001E-2</v>
      </c>
      <c r="N60" s="216" t="s">
        <v>165</v>
      </c>
      <c r="O60" s="216" t="s">
        <v>165</v>
      </c>
      <c r="P60" s="216" t="s">
        <v>165</v>
      </c>
      <c r="Q60" s="133">
        <f>'&lt;841 - Car Dealership (WisDOT)&gt;'!C18</f>
        <v>3.4000000000000002E-2</v>
      </c>
      <c r="R60" s="216">
        <f>'850 - Supermarket (WisDOT)'!C18</f>
        <v>0.1034702</v>
      </c>
      <c r="S60" s="133">
        <f>'&lt;857 - Discount Club (WisDOT)&gt;'!C18</f>
        <v>6.5000000000000002E-2</v>
      </c>
      <c r="T60" s="216">
        <f>'862 - Home Improvement (WisDOT)'!C18</f>
        <v>7.3999999999999996E-2</v>
      </c>
      <c r="U60" s="216" t="s">
        <v>165</v>
      </c>
      <c r="V60" s="216" t="s">
        <v>165</v>
      </c>
      <c r="W60" s="133">
        <f>'&lt;934 - Fast Food (WisDOT)&gt;'!C18</f>
        <v>0.152</v>
      </c>
      <c r="X60" s="216">
        <f>'&lt;945 - Gas Station (WisDOT)&gt;'!C18</f>
        <v>7.0999999999999994E-2</v>
      </c>
      <c r="Y60" s="216">
        <f>'&lt;945 - Gas Station (WisDOT)&gt;'!C18</f>
        <v>7.0999999999999994E-2</v>
      </c>
      <c r="Z60" s="216">
        <f>'Medical (WisDOT)'!C18</f>
        <v>0.03</v>
      </c>
    </row>
    <row r="61" spans="1:26" x14ac:dyDescent="0.2">
      <c r="A61" s="204" t="s">
        <v>141</v>
      </c>
      <c r="B61" s="214" t="s">
        <v>165</v>
      </c>
      <c r="C61" s="214" t="s">
        <v>165</v>
      </c>
      <c r="D61" s="216" t="s">
        <v>165</v>
      </c>
      <c r="E61" s="216" t="s">
        <v>165</v>
      </c>
      <c r="F61" s="216" t="s">
        <v>165</v>
      </c>
      <c r="G61" s="216" t="s">
        <v>165</v>
      </c>
      <c r="H61" s="216" t="s">
        <v>165</v>
      </c>
      <c r="I61" s="216" t="s">
        <v>165</v>
      </c>
      <c r="J61" s="216" t="s">
        <v>165</v>
      </c>
      <c r="K61" s="216" t="s">
        <v>165</v>
      </c>
      <c r="L61" s="216" t="s">
        <v>165</v>
      </c>
      <c r="M61" s="216" t="s">
        <v>165</v>
      </c>
      <c r="N61" s="216" t="s">
        <v>165</v>
      </c>
      <c r="O61" s="216" t="s">
        <v>165</v>
      </c>
      <c r="P61" s="216" t="s">
        <v>165</v>
      </c>
      <c r="Q61" s="216" t="s">
        <v>165</v>
      </c>
      <c r="R61" s="216">
        <f>'850 - Supermarket (WisDOT)'!C19</f>
        <v>6.5051200000000003E-2</v>
      </c>
      <c r="S61" s="216" t="s">
        <v>165</v>
      </c>
      <c r="T61" s="216" t="s">
        <v>165</v>
      </c>
      <c r="U61" s="216" t="s">
        <v>165</v>
      </c>
      <c r="V61" s="216" t="s">
        <v>165</v>
      </c>
      <c r="W61" s="216" t="s">
        <v>165</v>
      </c>
      <c r="X61" s="216">
        <f>'&lt;945 - Gas Station (WisDOT)&gt;'!C19</f>
        <v>7.4999999999999997E-2</v>
      </c>
      <c r="Y61" s="216">
        <f>'&lt;945 - Gas Station (WisDOT)&gt;'!C19</f>
        <v>7.4999999999999997E-2</v>
      </c>
      <c r="Z61" s="216" t="s">
        <v>165</v>
      </c>
    </row>
    <row r="62" spans="1:26" x14ac:dyDescent="0.2">
      <c r="A62" s="205" t="s">
        <v>142</v>
      </c>
      <c r="B62" s="214" t="s">
        <v>165</v>
      </c>
      <c r="C62" s="214" t="s">
        <v>165</v>
      </c>
      <c r="D62" s="216" t="s">
        <v>165</v>
      </c>
      <c r="E62" s="216" t="s">
        <v>165</v>
      </c>
      <c r="F62" s="216" t="s">
        <v>165</v>
      </c>
      <c r="G62" s="216" t="s">
        <v>165</v>
      </c>
      <c r="H62" s="216" t="s">
        <v>165</v>
      </c>
      <c r="I62" s="216" t="s">
        <v>165</v>
      </c>
      <c r="J62" s="216" t="s">
        <v>165</v>
      </c>
      <c r="K62" s="216" t="s">
        <v>165</v>
      </c>
      <c r="L62" s="216" t="s">
        <v>165</v>
      </c>
      <c r="M62" s="216" t="s">
        <v>165</v>
      </c>
      <c r="N62" s="216" t="s">
        <v>165</v>
      </c>
      <c r="O62" s="216" t="s">
        <v>165</v>
      </c>
      <c r="P62" s="216" t="s">
        <v>165</v>
      </c>
      <c r="Q62" s="216" t="s">
        <v>165</v>
      </c>
      <c r="R62" s="216" t="s">
        <v>165</v>
      </c>
      <c r="S62" s="216" t="s">
        <v>165</v>
      </c>
      <c r="T62" s="216" t="s">
        <v>165</v>
      </c>
      <c r="U62" s="216" t="s">
        <v>165</v>
      </c>
      <c r="V62" s="216" t="s">
        <v>165</v>
      </c>
      <c r="W62" s="216" t="s">
        <v>165</v>
      </c>
      <c r="X62" s="216">
        <f>'&lt;945 - Gas Station (WisDOT)&gt;'!C20</f>
        <v>0.06</v>
      </c>
      <c r="Y62" s="216">
        <f>'&lt;945 - Gas Station (WisDOT)&gt;'!C20</f>
        <v>0.06</v>
      </c>
      <c r="Z62" s="216" t="s">
        <v>165</v>
      </c>
    </row>
    <row r="63" spans="1:26" x14ac:dyDescent="0.2">
      <c r="A63" s="205" t="s">
        <v>160</v>
      </c>
      <c r="B63" s="214" t="s">
        <v>165</v>
      </c>
      <c r="C63" s="214" t="s">
        <v>165</v>
      </c>
      <c r="D63" s="216" t="s">
        <v>165</v>
      </c>
      <c r="E63" s="216" t="s">
        <v>165</v>
      </c>
      <c r="F63" s="216" t="s">
        <v>165</v>
      </c>
      <c r="G63" s="216" t="s">
        <v>165</v>
      </c>
      <c r="H63" s="216" t="s">
        <v>165</v>
      </c>
      <c r="I63" s="216" t="s">
        <v>165</v>
      </c>
      <c r="J63" s="216" t="s">
        <v>165</v>
      </c>
      <c r="K63" s="216" t="s">
        <v>165</v>
      </c>
      <c r="L63" s="216" t="s">
        <v>165</v>
      </c>
      <c r="M63" s="216" t="s">
        <v>165</v>
      </c>
      <c r="N63" s="216" t="s">
        <v>165</v>
      </c>
      <c r="O63" s="216" t="s">
        <v>165</v>
      </c>
      <c r="P63" s="216" t="s">
        <v>165</v>
      </c>
      <c r="Q63" s="216" t="s">
        <v>165</v>
      </c>
      <c r="R63" s="216" t="s">
        <v>165</v>
      </c>
      <c r="S63" s="216" t="s">
        <v>165</v>
      </c>
      <c r="T63" s="216" t="s">
        <v>165</v>
      </c>
      <c r="U63" s="216" t="s">
        <v>165</v>
      </c>
      <c r="V63" s="216" t="s">
        <v>165</v>
      </c>
      <c r="W63" s="216" t="s">
        <v>165</v>
      </c>
      <c r="X63" s="216" t="s">
        <v>165</v>
      </c>
      <c r="Y63" s="216" t="s">
        <v>165</v>
      </c>
      <c r="Z63" s="216" t="s">
        <v>165</v>
      </c>
    </row>
    <row r="64" spans="1:26" x14ac:dyDescent="0.2">
      <c r="A64" s="205" t="s">
        <v>161</v>
      </c>
      <c r="B64" s="214" t="s">
        <v>165</v>
      </c>
      <c r="C64" s="214" t="s">
        <v>165</v>
      </c>
      <c r="D64" s="216" t="s">
        <v>165</v>
      </c>
      <c r="E64" s="216" t="s">
        <v>165</v>
      </c>
      <c r="F64" s="216" t="s">
        <v>165</v>
      </c>
      <c r="G64" s="216" t="s">
        <v>165</v>
      </c>
      <c r="H64" s="216" t="s">
        <v>165</v>
      </c>
      <c r="I64" s="216" t="s">
        <v>165</v>
      </c>
      <c r="J64" s="216" t="s">
        <v>165</v>
      </c>
      <c r="K64" s="216" t="s">
        <v>165</v>
      </c>
      <c r="L64" s="216" t="s">
        <v>165</v>
      </c>
      <c r="M64" s="216" t="s">
        <v>165</v>
      </c>
      <c r="N64" s="216" t="s">
        <v>165</v>
      </c>
      <c r="O64" s="216" t="s">
        <v>165</v>
      </c>
      <c r="P64" s="216" t="s">
        <v>165</v>
      </c>
      <c r="Q64" s="216" t="s">
        <v>165</v>
      </c>
      <c r="R64" s="216" t="s">
        <v>165</v>
      </c>
      <c r="S64" s="216" t="s">
        <v>165</v>
      </c>
      <c r="T64" s="216" t="s">
        <v>165</v>
      </c>
      <c r="U64" s="216" t="s">
        <v>165</v>
      </c>
      <c r="V64" s="216" t="s">
        <v>165</v>
      </c>
      <c r="W64" s="216" t="s">
        <v>165</v>
      </c>
      <c r="X64" s="216" t="s">
        <v>165</v>
      </c>
      <c r="Y64" s="216" t="s">
        <v>165</v>
      </c>
      <c r="Z64" s="216" t="s">
        <v>165</v>
      </c>
    </row>
    <row r="65" spans="1:26" x14ac:dyDescent="0.2">
      <c r="A65" s="204" t="s">
        <v>186</v>
      </c>
      <c r="B65" s="214" t="s">
        <v>165</v>
      </c>
      <c r="C65" s="214" t="s">
        <v>165</v>
      </c>
      <c r="D65" s="216" t="s">
        <v>165</v>
      </c>
      <c r="E65" s="216" t="s">
        <v>165</v>
      </c>
      <c r="F65" s="216" t="s">
        <v>165</v>
      </c>
      <c r="G65" s="216" t="s">
        <v>165</v>
      </c>
      <c r="H65" s="216" t="s">
        <v>165</v>
      </c>
      <c r="I65" s="216" t="s">
        <v>165</v>
      </c>
      <c r="J65" s="216" t="s">
        <v>165</v>
      </c>
      <c r="K65" s="216" t="s">
        <v>165</v>
      </c>
      <c r="L65" s="216" t="s">
        <v>165</v>
      </c>
      <c r="M65" s="216" t="s">
        <v>165</v>
      </c>
      <c r="N65" s="216" t="s">
        <v>165</v>
      </c>
      <c r="O65" s="216" t="s">
        <v>165</v>
      </c>
      <c r="P65" s="216" t="s">
        <v>165</v>
      </c>
      <c r="Q65" s="216" t="s">
        <v>165</v>
      </c>
      <c r="R65" s="216" t="s">
        <v>165</v>
      </c>
      <c r="S65" s="216" t="s">
        <v>165</v>
      </c>
      <c r="T65" s="216" t="s">
        <v>165</v>
      </c>
      <c r="U65" s="216" t="s">
        <v>165</v>
      </c>
      <c r="V65" s="216" t="s">
        <v>165</v>
      </c>
      <c r="W65" s="216" t="s">
        <v>165</v>
      </c>
      <c r="X65" s="216" t="s">
        <v>165</v>
      </c>
      <c r="Y65" s="216" t="s">
        <v>165</v>
      </c>
      <c r="Z65" s="216" t="s">
        <v>165</v>
      </c>
    </row>
    <row r="66" spans="1:26" x14ac:dyDescent="0.2">
      <c r="B66" s="221"/>
    </row>
    <row r="67" spans="1:26" x14ac:dyDescent="0.2">
      <c r="B67" s="219" t="s">
        <v>39</v>
      </c>
      <c r="C67" s="219" t="s">
        <v>39</v>
      </c>
      <c r="D67" s="219" t="s">
        <v>39</v>
      </c>
      <c r="E67" s="219" t="s">
        <v>39</v>
      </c>
      <c r="F67" s="219" t="s">
        <v>39</v>
      </c>
      <c r="G67" s="219" t="s">
        <v>39</v>
      </c>
      <c r="H67" s="219" t="s">
        <v>39</v>
      </c>
      <c r="I67" s="219" t="s">
        <v>39</v>
      </c>
      <c r="J67" s="219" t="s">
        <v>39</v>
      </c>
      <c r="K67" s="219" t="s">
        <v>39</v>
      </c>
      <c r="L67" s="219" t="s">
        <v>39</v>
      </c>
      <c r="M67" s="219" t="s">
        <v>39</v>
      </c>
      <c r="N67" s="219" t="s">
        <v>39</v>
      </c>
      <c r="O67" s="219" t="s">
        <v>39</v>
      </c>
      <c r="P67" s="219" t="s">
        <v>39</v>
      </c>
      <c r="Q67" s="219" t="s">
        <v>39</v>
      </c>
      <c r="R67" s="219" t="s">
        <v>39</v>
      </c>
      <c r="S67" s="219" t="s">
        <v>39</v>
      </c>
      <c r="T67" s="219" t="s">
        <v>39</v>
      </c>
      <c r="U67" s="219" t="s">
        <v>39</v>
      </c>
      <c r="V67" s="219" t="s">
        <v>39</v>
      </c>
      <c r="W67" s="219" t="s">
        <v>39</v>
      </c>
      <c r="X67" s="219" t="s">
        <v>39</v>
      </c>
      <c r="Y67" s="219" t="s">
        <v>39</v>
      </c>
      <c r="Z67" s="219" t="s">
        <v>39</v>
      </c>
    </row>
    <row r="68" spans="1:26" x14ac:dyDescent="0.2">
      <c r="A68" s="129" t="s">
        <v>26</v>
      </c>
      <c r="B68" s="217">
        <f>'110 - Light Industrial (WisDOT)'!D7</f>
        <v>2.5999999999999999E-2</v>
      </c>
      <c r="C68" s="217">
        <f>'140 - Manufacturing (WisDOT)'!D7</f>
        <v>1.9E-2</v>
      </c>
      <c r="D68" s="216" t="s">
        <v>165</v>
      </c>
      <c r="E68" s="216">
        <f>'210 - Single Family (WisDOT)'!D7</f>
        <v>7.6999999999999999E-2</v>
      </c>
      <c r="F68" s="216">
        <f>'220-MultiFam HousingLR (WisDOT)'!D7</f>
        <v>6.6000000000000003E-2</v>
      </c>
      <c r="G68" s="216" t="s">
        <v>165</v>
      </c>
      <c r="H68" s="216">
        <f>'&lt;445 - Movie Theater (WisDOT)&gt;'!D7</f>
        <v>8.0000000000000002E-3</v>
      </c>
      <c r="I68" s="216">
        <f>'495 - Rec. Center (WisDOT)'!D7</f>
        <v>0.04</v>
      </c>
      <c r="J68" s="216">
        <f>'525 - High School (WisDOT)'!D7</f>
        <v>3.4665660632072819E-2</v>
      </c>
      <c r="K68" s="216" t="s">
        <v>165</v>
      </c>
      <c r="L68" s="216">
        <f>'&lt;710 - General Office (WisDOT)&gt;'!D7</f>
        <v>1.7000000000000001E-2</v>
      </c>
      <c r="M68" s="216">
        <f>'750 - Office Park (WisDOT)'!D7</f>
        <v>8.0000000000000002E-3</v>
      </c>
      <c r="N68" s="216" t="s">
        <v>165</v>
      </c>
      <c r="O68" s="216" t="s">
        <v>165</v>
      </c>
      <c r="P68" s="133">
        <f>'820 - Shopping Center, AM (WisD'!D7</f>
        <v>0.01</v>
      </c>
      <c r="Q68" s="133">
        <f>'&lt;841 - Car Dealership (WisDOT)&gt;'!D7</f>
        <v>8.0000000000000002E-3</v>
      </c>
      <c r="R68" s="216" t="str">
        <f>'850 - Supermarket (WisDOT)'!D7</f>
        <v>-</v>
      </c>
      <c r="S68" s="133">
        <f>'&lt;857 - Discount Club (WisDOT)&gt;'!D7</f>
        <v>2.1999999999999999E-2</v>
      </c>
      <c r="T68" s="216">
        <f>'862 - Home Improvement (WisDOT)'!D7</f>
        <v>8.0000000000000002E-3</v>
      </c>
      <c r="U68" s="216" t="s">
        <v>165</v>
      </c>
      <c r="V68" s="216" t="s">
        <v>165</v>
      </c>
      <c r="W68" s="133">
        <f>'&lt;934 - Fast Food (WisDOT)&gt;'!D7</f>
        <v>4.0000000000000001E-3</v>
      </c>
      <c r="X68" s="216">
        <f>'&lt;945 - Gas Station (WisDOT)&gt;'!D7</f>
        <v>7.2999999999999995E-2</v>
      </c>
      <c r="Y68" s="216">
        <f>'&lt;945 - Gas Station (WisDOT)&gt;'!D7</f>
        <v>7.2999999999999995E-2</v>
      </c>
      <c r="Z68" s="213">
        <f>'Medical (WisDOT)'!D7</f>
        <v>0.02</v>
      </c>
    </row>
    <row r="69" spans="1:26" x14ac:dyDescent="0.2">
      <c r="A69" s="129" t="s">
        <v>27</v>
      </c>
      <c r="B69" s="217">
        <f>'110 - Light Industrial (WisDOT)'!D8</f>
        <v>4.1000000000000002E-2</v>
      </c>
      <c r="C69" s="217">
        <f>'140 - Manufacturing (WisDOT)'!D8</f>
        <v>2.8000000000000001E-2</v>
      </c>
      <c r="D69" s="216" t="s">
        <v>165</v>
      </c>
      <c r="E69" s="216">
        <f>'210 - Single Family (WisDOT)'!D8</f>
        <v>0.122</v>
      </c>
      <c r="F69" s="216">
        <f>'220-MultiFam HousingLR (WisDOT)'!D8</f>
        <v>0.107</v>
      </c>
      <c r="G69" s="216" t="s">
        <v>165</v>
      </c>
      <c r="H69" s="216">
        <f>'&lt;445 - Movie Theater (WisDOT)&gt;'!D8</f>
        <v>7.0000000000000001E-3</v>
      </c>
      <c r="I69" s="216">
        <f>'495 - Rec. Center (WisDOT)'!D8</f>
        <v>7.3999999999999996E-2</v>
      </c>
      <c r="J69" s="216">
        <f>'525 - High School (WisDOT)'!D8</f>
        <v>0.151</v>
      </c>
      <c r="K69" s="216" t="s">
        <v>165</v>
      </c>
      <c r="L69" s="216">
        <f>'&lt;710 - General Office (WisDOT)&gt;'!D8</f>
        <v>1.9E-2</v>
      </c>
      <c r="M69" s="216">
        <f>'750 - Office Park (WisDOT)'!D8</f>
        <v>2.4E-2</v>
      </c>
      <c r="N69" s="216" t="s">
        <v>165</v>
      </c>
      <c r="O69" s="216" t="s">
        <v>165</v>
      </c>
      <c r="P69" s="133">
        <f>'820 - Shopping Center, AM (WisD'!D8</f>
        <v>2.4E-2</v>
      </c>
      <c r="Q69" s="133">
        <f>'&lt;841 - Car Dealership (WisDOT)&gt;'!D8</f>
        <v>4.0000000000000001E-3</v>
      </c>
      <c r="R69" s="216">
        <f>'850 - Supermarket (WisDOT)'!D8</f>
        <v>1.27566E-2</v>
      </c>
      <c r="S69" s="133">
        <f>'&lt;857 - Discount Club (WisDOT)&gt;'!D8</f>
        <v>4.2000000000000003E-2</v>
      </c>
      <c r="T69" s="216">
        <f>'862 - Home Improvement (WisDOT)'!D8</f>
        <v>1.4999999999999999E-2</v>
      </c>
      <c r="U69" s="216" t="s">
        <v>165</v>
      </c>
      <c r="V69" s="216" t="s">
        <v>165</v>
      </c>
      <c r="W69" s="133">
        <f>'&lt;934 - Fast Food (WisDOT)&gt;'!D8</f>
        <v>4.0000000000000001E-3</v>
      </c>
      <c r="X69" s="216">
        <f>'&lt;945 - Gas Station (WisDOT)&gt;'!D8</f>
        <v>6.8000000000000005E-2</v>
      </c>
      <c r="Y69" s="216">
        <f>'&lt;945 - Gas Station (WisDOT)&gt;'!D8</f>
        <v>6.8000000000000005E-2</v>
      </c>
      <c r="Z69" s="213">
        <f>'Medical (WisDOT)'!D8</f>
        <v>0.04</v>
      </c>
    </row>
    <row r="70" spans="1:26" x14ac:dyDescent="0.2">
      <c r="A70" s="129" t="s">
        <v>28</v>
      </c>
      <c r="B70" s="217">
        <f>'110 - Light Industrial (WisDOT)'!D9</f>
        <v>0.03</v>
      </c>
      <c r="C70" s="217">
        <f>'140 - Manufacturing (WisDOT)'!D9</f>
        <v>2.3E-2</v>
      </c>
      <c r="D70" s="216" t="s">
        <v>165</v>
      </c>
      <c r="E70" s="216">
        <f>'210 - Single Family (WisDOT)'!D9</f>
        <v>7.6999999999999999E-2</v>
      </c>
      <c r="F70" s="216">
        <f>'220-MultiFam HousingLR (WisDOT)'!D9</f>
        <v>5.7000000000000002E-2</v>
      </c>
      <c r="G70" s="216" t="s">
        <v>165</v>
      </c>
      <c r="H70" s="216">
        <f>'&lt;445 - Movie Theater (WisDOT)&gt;'!D9</f>
        <v>8.0000000000000002E-3</v>
      </c>
      <c r="I70" s="216">
        <f>'495 - Rec. Center (WisDOT)'!D9</f>
        <v>0.06</v>
      </c>
      <c r="J70" s="216">
        <f>'525 - High School (WisDOT)'!D9</f>
        <v>2.8376330707822795E-2</v>
      </c>
      <c r="K70" s="216" t="s">
        <v>165</v>
      </c>
      <c r="L70" s="216">
        <f>'&lt;710 - General Office (WisDOT)&gt;'!D9</f>
        <v>1.2999999999999999E-2</v>
      </c>
      <c r="M70" s="216">
        <f>'750 - Office Park (WisDOT)'!D9</f>
        <v>3.2000000000000001E-2</v>
      </c>
      <c r="N70" s="216" t="s">
        <v>165</v>
      </c>
      <c r="O70" s="216" t="s">
        <v>165</v>
      </c>
      <c r="P70" s="133">
        <f>'820 - Shopping Center, AM (WisD'!D9</f>
        <v>2.4E-2</v>
      </c>
      <c r="Q70" s="133">
        <f>'&lt;841 - Car Dealership (WisDOT)&gt;'!D9</f>
        <v>5.1999999999999998E-2</v>
      </c>
      <c r="R70" s="216">
        <f>'850 - Supermarket (WisDOT)'!D9</f>
        <v>1.74564E-2</v>
      </c>
      <c r="S70" s="133">
        <f>'&lt;857 - Discount Club (WisDOT)&gt;'!D9</f>
        <v>3.1E-2</v>
      </c>
      <c r="T70" s="216">
        <f>'862 - Home Improvement (WisDOT)'!D9</f>
        <v>3.5000000000000003E-2</v>
      </c>
      <c r="U70" s="216" t="s">
        <v>165</v>
      </c>
      <c r="V70" s="216" t="s">
        <v>165</v>
      </c>
      <c r="W70" s="133">
        <f>'&lt;934 - Fast Food (WisDOT)&gt;'!D9</f>
        <v>8.9999999999999993E-3</v>
      </c>
      <c r="X70" s="216">
        <f>'&lt;945 - Gas Station (WisDOT)&gt;'!D9</f>
        <v>6.5000000000000002E-2</v>
      </c>
      <c r="Y70" s="216">
        <f>'&lt;945 - Gas Station (WisDOT)&gt;'!D9</f>
        <v>6.5000000000000002E-2</v>
      </c>
      <c r="Z70" s="213">
        <f>'Medical (WisDOT)'!D9</f>
        <v>0.03</v>
      </c>
    </row>
    <row r="71" spans="1:26" x14ac:dyDescent="0.2">
      <c r="A71" s="129" t="s">
        <v>29</v>
      </c>
      <c r="B71" s="217">
        <f>'110 - Light Industrial (WisDOT)'!D10</f>
        <v>3.1E-2</v>
      </c>
      <c r="C71" s="217">
        <f>'140 - Manufacturing (WisDOT)'!D10</f>
        <v>2.5000000000000001E-2</v>
      </c>
      <c r="D71" s="216" t="s">
        <v>165</v>
      </c>
      <c r="E71" s="216">
        <f>'210 - Single Family (WisDOT)'!D10</f>
        <v>5.0999999999999997E-2</v>
      </c>
      <c r="F71" s="216">
        <f>'220-MultiFam HousingLR (WisDOT)'!D10</f>
        <v>5.3999999999999999E-2</v>
      </c>
      <c r="G71" s="216" t="s">
        <v>165</v>
      </c>
      <c r="H71" s="216">
        <f>'&lt;445 - Movie Theater (WisDOT)&gt;'!D10</f>
        <v>4.0000000000000001E-3</v>
      </c>
      <c r="I71" s="216">
        <f>'495 - Rec. Center (WisDOT)'!D10</f>
        <v>5.6000000000000001E-2</v>
      </c>
      <c r="J71" s="216">
        <f>'525 - High School (WisDOT)'!D10</f>
        <v>2.0996015743380954E-2</v>
      </c>
      <c r="K71" s="216" t="s">
        <v>165</v>
      </c>
      <c r="L71" s="216">
        <f>'&lt;710 - General Office (WisDOT)&gt;'!D10</f>
        <v>1.6E-2</v>
      </c>
      <c r="M71" s="216">
        <f>'750 - Office Park (WisDOT)'!D10</f>
        <v>3.1E-2</v>
      </c>
      <c r="N71" s="216" t="s">
        <v>165</v>
      </c>
      <c r="O71" s="216" t="s">
        <v>165</v>
      </c>
      <c r="P71" s="133">
        <f>'820 - Shopping Center, AM (WisD'!D10</f>
        <v>3.6999999999999998E-2</v>
      </c>
      <c r="Q71" s="133">
        <f>'&lt;841 - Car Dealership (WisDOT)&gt;'!D10</f>
        <v>6.9000000000000006E-2</v>
      </c>
      <c r="R71" s="216">
        <f>'850 - Supermarket (WisDOT)'!D10</f>
        <v>3.4092199999999996E-2</v>
      </c>
      <c r="S71" s="133">
        <f>'&lt;857 - Discount Club (WisDOT)&gt;'!D10</f>
        <v>4.4999999999999998E-2</v>
      </c>
      <c r="T71" s="216">
        <f>'862 - Home Improvement (WisDOT)'!D10</f>
        <v>5.6000000000000001E-2</v>
      </c>
      <c r="U71" s="216" t="s">
        <v>165</v>
      </c>
      <c r="V71" s="216" t="s">
        <v>165</v>
      </c>
      <c r="W71" s="133">
        <f>'&lt;934 - Fast Food (WisDOT)&gt;'!D10</f>
        <v>8.9999999999999993E-3</v>
      </c>
      <c r="X71" s="216">
        <f>'&lt;945 - Gas Station (WisDOT)&gt;'!D10</f>
        <v>0.06</v>
      </c>
      <c r="Y71" s="216">
        <f>'&lt;945 - Gas Station (WisDOT)&gt;'!D10</f>
        <v>0.06</v>
      </c>
      <c r="Z71" s="213">
        <f>'Medical (WisDOT)'!D10</f>
        <v>0.04</v>
      </c>
    </row>
    <row r="72" spans="1:26" x14ac:dyDescent="0.2">
      <c r="A72" s="129" t="s">
        <v>30</v>
      </c>
      <c r="B72" s="217">
        <f>'110 - Light Industrial (WisDOT)'!D11</f>
        <v>3.9E-2</v>
      </c>
      <c r="C72" s="217">
        <f>'140 - Manufacturing (WisDOT)'!D11</f>
        <v>3.7999999999999999E-2</v>
      </c>
      <c r="D72" s="216" t="s">
        <v>165</v>
      </c>
      <c r="E72" s="216">
        <f>'210 - Single Family (WisDOT)'!D11</f>
        <v>5.8000000000000003E-2</v>
      </c>
      <c r="F72" s="216">
        <f>'220-MultiFam HousingLR (WisDOT)'!D11</f>
        <v>0.05</v>
      </c>
      <c r="G72" s="216" t="s">
        <v>165</v>
      </c>
      <c r="H72" s="216">
        <f>'&lt;445 - Movie Theater (WisDOT)&gt;'!D11</f>
        <v>1.7000000000000001E-2</v>
      </c>
      <c r="I72" s="216">
        <f>'495 - Rec. Center (WisDOT)'!D11</f>
        <v>7.9000000000000001E-2</v>
      </c>
      <c r="J72" s="216">
        <f>'525 - High School (WisDOT)'!D11</f>
        <v>2.0834183414122708E-2</v>
      </c>
      <c r="K72" s="216" t="s">
        <v>165</v>
      </c>
      <c r="L72" s="216">
        <f>'&lt;710 - General Office (WisDOT)&gt;'!D11</f>
        <v>1.6E-2</v>
      </c>
      <c r="M72" s="216">
        <f>'750 - Office Park (WisDOT)'!D11</f>
        <v>3.6999999999999998E-2</v>
      </c>
      <c r="N72" s="216" t="s">
        <v>165</v>
      </c>
      <c r="O72" s="216" t="s">
        <v>165</v>
      </c>
      <c r="P72" s="216" t="s">
        <v>165</v>
      </c>
      <c r="Q72" s="133">
        <f>'&lt;841 - Car Dealership (WisDOT)&gt;'!D11</f>
        <v>7.2999999999999995E-2</v>
      </c>
      <c r="R72" s="216">
        <f>'850 - Supermarket (WisDOT)'!D11</f>
        <v>4.0060199999999997E-2</v>
      </c>
      <c r="S72" s="133">
        <f>'&lt;857 - Discount Club (WisDOT)&gt;'!D11</f>
        <v>4.9000000000000002E-2</v>
      </c>
      <c r="T72" s="216">
        <f>'862 - Home Improvement (WisDOT)'!D11</f>
        <v>6.4000000000000001E-2</v>
      </c>
      <c r="U72" s="216" t="s">
        <v>165</v>
      </c>
      <c r="V72" s="216" t="s">
        <v>165</v>
      </c>
      <c r="W72" s="133">
        <f>'&lt;934 - Fast Food (WisDOT)&gt;'!D11</f>
        <v>0.03</v>
      </c>
      <c r="X72" s="216">
        <f>'&lt;945 - Gas Station (WisDOT)&gt;'!D11</f>
        <v>3.7999999999999999E-2</v>
      </c>
      <c r="Y72" s="216">
        <f>'&lt;945 - Gas Station (WisDOT)&gt;'!D11</f>
        <v>3.7999999999999999E-2</v>
      </c>
      <c r="Z72" s="213">
        <f>'Medical (WisDOT)'!D11</f>
        <v>0.08</v>
      </c>
    </row>
    <row r="73" spans="1:26" x14ac:dyDescent="0.2">
      <c r="A73" s="129" t="s">
        <v>37</v>
      </c>
      <c r="B73" s="217">
        <f>'110 - Light Industrial (WisDOT)'!D12</f>
        <v>5.8999999999999997E-2</v>
      </c>
      <c r="C73" s="217">
        <f>'140 - Manufacturing (WisDOT)'!D12</f>
        <v>7.0999999999999994E-2</v>
      </c>
      <c r="D73" s="216" t="s">
        <v>165</v>
      </c>
      <c r="E73" s="216">
        <f>'210 - Single Family (WisDOT)'!D12</f>
        <v>5.1999999999999998E-2</v>
      </c>
      <c r="F73" s="216">
        <f>'220-MultiFam HousingLR (WisDOT)'!D12</f>
        <v>5.0999999999999997E-2</v>
      </c>
      <c r="G73" s="216" t="s">
        <v>165</v>
      </c>
      <c r="H73" s="216">
        <f>'&lt;445 - Movie Theater (WisDOT)&gt;'!D12</f>
        <v>0.02</v>
      </c>
      <c r="I73" s="216">
        <f>'495 - Rec. Center (WisDOT)'!D12</f>
        <v>8.6999999999999994E-2</v>
      </c>
      <c r="J73" s="216">
        <f>'525 - High School (WisDOT)'!D12</f>
        <v>2.9947280006583948E-2</v>
      </c>
      <c r="K73" s="216" t="s">
        <v>165</v>
      </c>
      <c r="L73" s="216">
        <f>'&lt;710 - General Office (WisDOT)&gt;'!D12</f>
        <v>0.04</v>
      </c>
      <c r="M73" s="216">
        <f>'750 - Office Park (WisDOT)'!D12</f>
        <v>7.6999999999999999E-2</v>
      </c>
      <c r="N73" s="216" t="s">
        <v>165</v>
      </c>
      <c r="O73" s="216" t="s">
        <v>165</v>
      </c>
      <c r="P73" s="216" t="s">
        <v>165</v>
      </c>
      <c r="Q73" s="133">
        <f>'&lt;841 - Car Dealership (WisDOT)&gt;'!D12</f>
        <v>6.9000000000000006E-2</v>
      </c>
      <c r="R73" s="216">
        <f>'850 - Supermarket (WisDOT)'!D12</f>
        <v>5.0653400000000001E-2</v>
      </c>
      <c r="S73" s="133">
        <f>'&lt;857 - Discount Club (WisDOT)&gt;'!D12</f>
        <v>6.9000000000000006E-2</v>
      </c>
      <c r="T73" s="216">
        <f>'862 - Home Improvement (WisDOT)'!D12</f>
        <v>7.6999999999999999E-2</v>
      </c>
      <c r="U73" s="216" t="s">
        <v>165</v>
      </c>
      <c r="V73" s="216" t="s">
        <v>165</v>
      </c>
      <c r="W73" s="133">
        <f>'&lt;934 - Fast Food (WisDOT)&gt;'!D12</f>
        <v>0.108</v>
      </c>
      <c r="X73" s="216">
        <f>'&lt;945 - Gas Station (WisDOT)&gt;'!D12</f>
        <v>4.8000000000000001E-2</v>
      </c>
      <c r="Y73" s="216">
        <f>'&lt;945 - Gas Station (WisDOT)&gt;'!D12</f>
        <v>4.8000000000000001E-2</v>
      </c>
      <c r="Z73" s="213">
        <f>'Medical (WisDOT)'!D12</f>
        <v>0.09</v>
      </c>
    </row>
    <row r="74" spans="1:26" x14ac:dyDescent="0.2">
      <c r="A74" s="129" t="s">
        <v>31</v>
      </c>
      <c r="B74" s="217">
        <f>'110 - Light Industrial (WisDOT)'!D13</f>
        <v>7.0000000000000007E-2</v>
      </c>
      <c r="C74" s="217">
        <f>'140 - Manufacturing (WisDOT)'!D13</f>
        <v>8.4000000000000005E-2</v>
      </c>
      <c r="D74" s="216" t="s">
        <v>165</v>
      </c>
      <c r="E74" s="216">
        <f>'210 - Single Family (WisDOT)'!D13</f>
        <v>6.0999999999999999E-2</v>
      </c>
      <c r="F74" s="216">
        <f>'220-MultiFam HousingLR (WisDOT)'!D13</f>
        <v>5.3999999999999999E-2</v>
      </c>
      <c r="G74" s="216" t="s">
        <v>165</v>
      </c>
      <c r="H74" s="216">
        <f>'&lt;445 - Movie Theater (WisDOT)&gt;'!D13</f>
        <v>6.4000000000000001E-2</v>
      </c>
      <c r="I74" s="216">
        <f>'495 - Rec. Center (WisDOT)'!D13</f>
        <v>6.7000000000000004E-2</v>
      </c>
      <c r="J74" s="216">
        <f>'525 - High School (WisDOT)'!D13</f>
        <v>3.1224303066307683E-2</v>
      </c>
      <c r="K74" s="216" t="s">
        <v>165</v>
      </c>
      <c r="L74" s="216">
        <f>'&lt;710 - General Office (WisDOT)&gt;'!D13</f>
        <v>3.9E-2</v>
      </c>
      <c r="M74" s="216">
        <f>'750 - Office Park (WisDOT)'!D13</f>
        <v>0.09</v>
      </c>
      <c r="N74" s="216" t="s">
        <v>165</v>
      </c>
      <c r="O74" s="216" t="s">
        <v>165</v>
      </c>
      <c r="P74" s="216" t="s">
        <v>165</v>
      </c>
      <c r="Q74" s="133">
        <f>'&lt;841 - Car Dealership (WisDOT)&gt;'!D13</f>
        <v>8.2000000000000003E-2</v>
      </c>
      <c r="R74" s="216">
        <f>'850 - Supermarket (WisDOT)'!D13</f>
        <v>5.8784799999999998E-2</v>
      </c>
      <c r="S74" s="133">
        <f>'&lt;857 - Discount Club (WisDOT)&gt;'!D13</f>
        <v>9.8000000000000004E-2</v>
      </c>
      <c r="T74" s="216">
        <f>'862 - Home Improvement (WisDOT)'!D13</f>
        <v>0.114</v>
      </c>
      <c r="U74" s="216" t="s">
        <v>165</v>
      </c>
      <c r="V74" s="216" t="s">
        <v>165</v>
      </c>
      <c r="W74" s="133">
        <f>'&lt;934 - Fast Food (WisDOT)&gt;'!D13</f>
        <v>0.216</v>
      </c>
      <c r="X74" s="216">
        <f>'&lt;945 - Gas Station (WisDOT)&gt;'!D13</f>
        <v>0.08</v>
      </c>
      <c r="Y74" s="216">
        <f>'&lt;945 - Gas Station (WisDOT)&gt;'!D13</f>
        <v>0.08</v>
      </c>
      <c r="Z74" s="213">
        <f>'Medical (WisDOT)'!D13</f>
        <v>0.1</v>
      </c>
    </row>
    <row r="75" spans="1:26" x14ac:dyDescent="0.2">
      <c r="A75" s="129" t="s">
        <v>32</v>
      </c>
      <c r="B75" s="217">
        <f>'110 - Light Industrial (WisDOT)'!D14</f>
        <v>3.9E-2</v>
      </c>
      <c r="C75" s="217">
        <f>'140 - Manufacturing (WisDOT)'!D14</f>
        <v>5.8999999999999997E-2</v>
      </c>
      <c r="D75" s="216" t="s">
        <v>165</v>
      </c>
      <c r="E75" s="216">
        <f>'210 - Single Family (WisDOT)'!D14</f>
        <v>4.7E-2</v>
      </c>
      <c r="F75" s="216">
        <f>'220-MultiFam HousingLR (WisDOT)'!D14</f>
        <v>6.3E-2</v>
      </c>
      <c r="G75" s="216" t="s">
        <v>165</v>
      </c>
      <c r="H75" s="216">
        <f>'&lt;445 - Movie Theater (WisDOT)&gt;'!D14</f>
        <v>0.05</v>
      </c>
      <c r="I75" s="216">
        <f>'495 - Rec. Center (WisDOT)'!D14</f>
        <v>5.5E-2</v>
      </c>
      <c r="J75" s="216">
        <f>'525 - High School (WisDOT)'!D14</f>
        <v>3.2824990784547918E-2</v>
      </c>
      <c r="K75" s="216" t="s">
        <v>165</v>
      </c>
      <c r="L75" s="216">
        <f>'&lt;710 - General Office (WisDOT)&gt;'!D14</f>
        <v>0.03</v>
      </c>
      <c r="M75" s="216">
        <f>'750 - Office Park (WisDOT)'!D14</f>
        <v>5.6000000000000001E-2</v>
      </c>
      <c r="N75" s="216" t="s">
        <v>165</v>
      </c>
      <c r="O75" s="216" t="s">
        <v>165</v>
      </c>
      <c r="P75" s="216" t="s">
        <v>165</v>
      </c>
      <c r="Q75" s="133">
        <f>'&lt;841 - Car Dealership (WisDOT)&gt;'!D14</f>
        <v>0.05</v>
      </c>
      <c r="R75" s="216">
        <f>'850 - Supermarket (WisDOT)'!D14</f>
        <v>6.6393999999999995E-2</v>
      </c>
      <c r="S75" s="133">
        <f>'&lt;857 - Discount Club (WisDOT)&gt;'!D14</f>
        <v>0.1</v>
      </c>
      <c r="T75" s="216">
        <f>'862 - Home Improvement (WisDOT)'!D14</f>
        <v>0.10199999999999999</v>
      </c>
      <c r="U75" s="216" t="s">
        <v>165</v>
      </c>
      <c r="V75" s="216" t="s">
        <v>165</v>
      </c>
      <c r="W75" s="133">
        <f>'&lt;934 - Fast Food (WisDOT)&gt;'!D14</f>
        <v>9.9000000000000005E-2</v>
      </c>
      <c r="X75" s="216">
        <f>'&lt;945 - Gas Station (WisDOT)&gt;'!D14</f>
        <v>6.5000000000000002E-2</v>
      </c>
      <c r="Y75" s="216">
        <f>'&lt;945 - Gas Station (WisDOT)&gt;'!D14</f>
        <v>6.5000000000000002E-2</v>
      </c>
      <c r="Z75" s="213">
        <f>'Medical (WisDOT)'!D14</f>
        <v>0.09</v>
      </c>
    </row>
    <row r="76" spans="1:26" x14ac:dyDescent="0.2">
      <c r="A76" s="129" t="s">
        <v>33</v>
      </c>
      <c r="B76" s="217">
        <f>'110 - Light Industrial (WisDOT)'!D15</f>
        <v>7.9000000000000001E-2</v>
      </c>
      <c r="C76" s="217">
        <f>'140 - Manufacturing (WisDOT)'!D15</f>
        <v>0.13200000000000001</v>
      </c>
      <c r="D76" s="216" t="s">
        <v>165</v>
      </c>
      <c r="E76" s="216">
        <f>'210 - Single Family (WisDOT)'!D15</f>
        <v>6.9000000000000006E-2</v>
      </c>
      <c r="F76" s="216">
        <f>'220-MultiFam HousingLR (WisDOT)'!D15</f>
        <v>6.8000000000000005E-2</v>
      </c>
      <c r="G76" s="216" t="s">
        <v>165</v>
      </c>
      <c r="H76" s="216">
        <f>'&lt;445 - Movie Theater (WisDOT)&gt;'!D15</f>
        <v>4.5999999999999999E-2</v>
      </c>
      <c r="I76" s="216">
        <f>'495 - Rec. Center (WisDOT)'!D15</f>
        <v>5.5E-2</v>
      </c>
      <c r="J76" s="216">
        <f>'525 - High School (WisDOT)'!D15</f>
        <v>0.22</v>
      </c>
      <c r="K76" s="216" t="s">
        <v>165</v>
      </c>
      <c r="L76" s="216">
        <f>'&lt;710 - General Office (WisDOT)&gt;'!D15</f>
        <v>6.6000000000000003E-2</v>
      </c>
      <c r="M76" s="216">
        <f>'750 - Office Park (WisDOT)'!D15</f>
        <v>6.3E-2</v>
      </c>
      <c r="N76" s="216" t="s">
        <v>165</v>
      </c>
      <c r="O76" s="216" t="s">
        <v>165</v>
      </c>
      <c r="P76" s="216" t="s">
        <v>165</v>
      </c>
      <c r="Q76" s="133">
        <f>'&lt;841 - Car Dealership (WisDOT)&gt;'!D15</f>
        <v>7.2999999999999995E-2</v>
      </c>
      <c r="R76" s="216">
        <f>'850 - Supermarket (WisDOT)'!D15</f>
        <v>7.4972999999999998E-2</v>
      </c>
      <c r="S76" s="133">
        <f>'&lt;857 - Discount Club (WisDOT)&gt;'!D15</f>
        <v>8.1000000000000003E-2</v>
      </c>
      <c r="T76" s="216">
        <f>'862 - Home Improvement (WisDOT)'!D15</f>
        <v>6.8000000000000005E-2</v>
      </c>
      <c r="U76" s="216" t="s">
        <v>165</v>
      </c>
      <c r="V76" s="216" t="s">
        <v>165</v>
      </c>
      <c r="W76" s="133">
        <f>'&lt;934 - Fast Food (WisDOT)&gt;'!D15</f>
        <v>5.6000000000000001E-2</v>
      </c>
      <c r="X76" s="216">
        <f>'&lt;945 - Gas Station (WisDOT)&gt;'!D15</f>
        <v>8.8999999999999996E-2</v>
      </c>
      <c r="Y76" s="216">
        <f>'&lt;945 - Gas Station (WisDOT)&gt;'!D15</f>
        <v>8.8999999999999996E-2</v>
      </c>
      <c r="Z76" s="213">
        <f>'Medical (WisDOT)'!D15</f>
        <v>0.09</v>
      </c>
    </row>
    <row r="77" spans="1:26" x14ac:dyDescent="0.2">
      <c r="A77" s="129" t="s">
        <v>34</v>
      </c>
      <c r="B77" s="217">
        <f>'110 - Light Industrial (WisDOT)'!D16</f>
        <v>0.151</v>
      </c>
      <c r="C77" s="217">
        <f>'140 - Manufacturing (WisDOT)'!D16</f>
        <v>0.107</v>
      </c>
      <c r="D77" s="216" t="s">
        <v>165</v>
      </c>
      <c r="E77" s="216">
        <f>'210 - Single Family (WisDOT)'!D16</f>
        <v>5.8000000000000003E-2</v>
      </c>
      <c r="F77" s="216">
        <f>'220-MultiFam HousingLR (WisDOT)'!D16</f>
        <v>6.6000000000000003E-2</v>
      </c>
      <c r="G77" s="216" t="s">
        <v>165</v>
      </c>
      <c r="H77" s="216">
        <f>'&lt;445 - Movie Theater (WisDOT)&gt;'!D16</f>
        <v>1.2999999999999999E-2</v>
      </c>
      <c r="I77" s="216">
        <f>'495 - Rec. Center (WisDOT)'!D16</f>
        <v>6.4000000000000001E-2</v>
      </c>
      <c r="J77" s="216">
        <f>'525 - High School (WisDOT)'!D16</f>
        <v>0.09</v>
      </c>
      <c r="K77" s="216" t="s">
        <v>165</v>
      </c>
      <c r="L77" s="216">
        <f>'&lt;710 - General Office (WisDOT)&gt;'!D16</f>
        <v>0.17799999999999999</v>
      </c>
      <c r="M77" s="216">
        <f>'750 - Office Park (WisDOT)'!D16</f>
        <v>7.6999999999999999E-2</v>
      </c>
      <c r="N77" s="216" t="s">
        <v>165</v>
      </c>
      <c r="O77" s="216" t="s">
        <v>165</v>
      </c>
      <c r="P77" s="216" t="s">
        <v>165</v>
      </c>
      <c r="Q77" s="133">
        <f>'&lt;841 - Car Dealership (WisDOT)&gt;'!D16</f>
        <v>0.10299999999999999</v>
      </c>
      <c r="R77" s="216">
        <f>'850 - Supermarket (WisDOT)'!D16</f>
        <v>9.8770399999999994E-2</v>
      </c>
      <c r="S77" s="133">
        <f>'&lt;857 - Discount Club (WisDOT)&gt;'!D16</f>
        <v>8.8999999999999996E-2</v>
      </c>
      <c r="T77" s="216">
        <f>'862 - Home Improvement (WisDOT)'!D16</f>
        <v>7.6999999999999999E-2</v>
      </c>
      <c r="U77" s="216" t="s">
        <v>165</v>
      </c>
      <c r="V77" s="216" t="s">
        <v>165</v>
      </c>
      <c r="W77" s="133">
        <f>'&lt;934 - Fast Food (WisDOT)&gt;'!D16</f>
        <v>0.06</v>
      </c>
      <c r="X77" s="216">
        <f>'&lt;945 - Gas Station (WisDOT)&gt;'!D16</f>
        <v>7.6999999999999999E-2</v>
      </c>
      <c r="Y77" s="216">
        <f>'&lt;945 - Gas Station (WisDOT)&gt;'!D16</f>
        <v>7.6999999999999999E-2</v>
      </c>
      <c r="Z77" s="213">
        <f>'Medical (WisDOT)'!D16</f>
        <v>9.5000000000000001E-2</v>
      </c>
    </row>
    <row r="78" spans="1:26" x14ac:dyDescent="0.2">
      <c r="A78" s="129" t="s">
        <v>35</v>
      </c>
      <c r="B78" s="217">
        <f>'110 - Light Industrial (WisDOT)'!D17</f>
        <v>0.112</v>
      </c>
      <c r="C78" s="217">
        <f>'140 - Manufacturing (WisDOT)'!D17</f>
        <v>7.9000000000000001E-2</v>
      </c>
      <c r="D78" s="216" t="s">
        <v>165</v>
      </c>
      <c r="E78" s="216">
        <f>'210 - Single Family (WisDOT)'!D17</f>
        <v>6.7000000000000004E-2</v>
      </c>
      <c r="F78" s="216">
        <f>'220-MultiFam HousingLR (WisDOT)'!D17</f>
        <v>9.5000000000000001E-2</v>
      </c>
      <c r="G78" s="216" t="s">
        <v>165</v>
      </c>
      <c r="H78" s="216">
        <f>'&lt;445 - Movie Theater (WisDOT)&gt;'!D17</f>
        <v>7.4999999999999997E-2</v>
      </c>
      <c r="I78" s="216">
        <f>'495 - Rec. Center (WisDOT)'!D17</f>
        <v>8.4000000000000005E-2</v>
      </c>
      <c r="J78" s="216">
        <f>'525 - High School (WisDOT)'!D17</f>
        <v>6.1771538396103297E-2</v>
      </c>
      <c r="K78" s="216" t="s">
        <v>165</v>
      </c>
      <c r="L78" s="216">
        <f>'&lt;710 - General Office (WisDOT)&gt;'!D17</f>
        <v>0.22600000000000001</v>
      </c>
      <c r="M78" s="216">
        <f>'750 - Office Park (WisDOT)'!D17</f>
        <v>0.154</v>
      </c>
      <c r="N78" s="216" t="s">
        <v>165</v>
      </c>
      <c r="O78" s="216" t="s">
        <v>165</v>
      </c>
      <c r="P78" s="216" t="s">
        <v>165</v>
      </c>
      <c r="Q78" s="133">
        <f>'&lt;841 - Car Dealership (WisDOT)&gt;'!D17</f>
        <v>8.4000000000000005E-2</v>
      </c>
      <c r="R78" s="216">
        <f>'850 - Supermarket (WisDOT)'!D17</f>
        <v>9.7502200000000011E-2</v>
      </c>
      <c r="S78" s="133">
        <f>'&lt;857 - Discount Club (WisDOT)&gt;'!D17</f>
        <v>9.5000000000000001E-2</v>
      </c>
      <c r="T78" s="216">
        <f>'862 - Home Improvement (WisDOT)'!D17</f>
        <v>7.2999999999999995E-2</v>
      </c>
      <c r="U78" s="216" t="s">
        <v>165</v>
      </c>
      <c r="V78" s="216" t="s">
        <v>165</v>
      </c>
      <c r="W78" s="133">
        <f>'&lt;934 - Fast Food (WisDOT)&gt;'!D17</f>
        <v>5.1999999999999998E-2</v>
      </c>
      <c r="X78" s="216">
        <f>'&lt;945 - Gas Station (WisDOT)&gt;'!D17</f>
        <v>5.6000000000000001E-2</v>
      </c>
      <c r="Y78" s="216">
        <f>'&lt;945 - Gas Station (WisDOT)&gt;'!D17</f>
        <v>5.6000000000000001E-2</v>
      </c>
      <c r="Z78" s="213">
        <f>'Medical (WisDOT)'!D17</f>
        <v>0.10001091540082796</v>
      </c>
    </row>
    <row r="79" spans="1:26" x14ac:dyDescent="0.2">
      <c r="A79" s="129" t="s">
        <v>36</v>
      </c>
      <c r="B79" s="217">
        <f>'110 - Light Industrial (WisDOT)'!D18</f>
        <v>8.4000000000000005E-2</v>
      </c>
      <c r="C79" s="217">
        <f>'140 - Manufacturing (WisDOT)'!D18</f>
        <v>4.8000000000000001E-2</v>
      </c>
      <c r="D79" s="216" t="s">
        <v>165</v>
      </c>
      <c r="E79" s="216">
        <f>'210 - Single Family (WisDOT)'!D18</f>
        <v>6.8000000000000005E-2</v>
      </c>
      <c r="F79" s="216">
        <f>'220-MultiFam HousingLR (WisDOT)'!D18</f>
        <v>9.5000000000000001E-2</v>
      </c>
      <c r="G79" s="216" t="s">
        <v>165</v>
      </c>
      <c r="H79" s="216">
        <f>'&lt;445 - Movie Theater (WisDOT)&gt;'!D18</f>
        <v>0.06</v>
      </c>
      <c r="I79" s="216">
        <f>'495 - Rec. Center (WisDOT)'!D18</f>
        <v>0.113</v>
      </c>
      <c r="J79" s="216">
        <f>'525 - High School (WisDOT)'!D18</f>
        <v>7.0225202826394717E-2</v>
      </c>
      <c r="K79" s="216" t="s">
        <v>165</v>
      </c>
      <c r="L79" s="216">
        <f>'&lt;710 - General Office (WisDOT)&gt;'!D18</f>
        <v>0.13200000000000001</v>
      </c>
      <c r="M79" s="216">
        <f>'750 - Office Park (WisDOT)'!D18</f>
        <v>0.159</v>
      </c>
      <c r="N79" s="216" t="s">
        <v>165</v>
      </c>
      <c r="O79" s="216" t="s">
        <v>165</v>
      </c>
      <c r="P79" s="216" t="s">
        <v>165</v>
      </c>
      <c r="Q79" s="133">
        <f>'&lt;841 - Car Dealership (WisDOT)&gt;'!D18</f>
        <v>0.109</v>
      </c>
      <c r="R79" s="216">
        <f>'850 - Supermarket (WisDOT)'!D18</f>
        <v>0.1094382</v>
      </c>
      <c r="S79" s="133">
        <f>'&lt;857 - Discount Club (WisDOT)&gt;'!D18</f>
        <v>7.8E-2</v>
      </c>
      <c r="T79" s="216">
        <f>'862 - Home Improvement (WisDOT)'!D18</f>
        <v>8.5000000000000006E-2</v>
      </c>
      <c r="U79" s="216" t="s">
        <v>165</v>
      </c>
      <c r="V79" s="216" t="s">
        <v>165</v>
      </c>
      <c r="W79" s="133">
        <f>'&lt;934 - Fast Food (WisDOT)&gt;'!D18</f>
        <v>0.121</v>
      </c>
      <c r="X79" s="216">
        <f>'&lt;945 - Gas Station (WisDOT)&gt;'!D18</f>
        <v>0.06</v>
      </c>
      <c r="Y79" s="216">
        <f>'&lt;945 - Gas Station (WisDOT)&gt;'!D18</f>
        <v>0.06</v>
      </c>
      <c r="Z79" s="213">
        <f>'Medical (WisDOT)'!D18</f>
        <v>7.0000000000000007E-2</v>
      </c>
    </row>
    <row r="80" spans="1:26" x14ac:dyDescent="0.2">
      <c r="A80" s="204" t="s">
        <v>141</v>
      </c>
      <c r="B80" s="217" t="s">
        <v>165</v>
      </c>
      <c r="C80" s="217" t="s">
        <v>165</v>
      </c>
      <c r="D80" s="216" t="s">
        <v>165</v>
      </c>
      <c r="E80" s="216" t="s">
        <v>165</v>
      </c>
      <c r="F80" s="216" t="s">
        <v>165</v>
      </c>
      <c r="G80" s="216" t="s">
        <v>165</v>
      </c>
      <c r="H80" s="216" t="s">
        <v>165</v>
      </c>
      <c r="I80" s="216" t="s">
        <v>165</v>
      </c>
      <c r="J80" s="216" t="s">
        <v>165</v>
      </c>
      <c r="K80" s="216" t="s">
        <v>165</v>
      </c>
      <c r="L80" s="216" t="s">
        <v>165</v>
      </c>
      <c r="M80" s="216" t="s">
        <v>165</v>
      </c>
      <c r="N80" s="216" t="s">
        <v>165</v>
      </c>
      <c r="O80" s="216" t="s">
        <v>165</v>
      </c>
      <c r="P80" s="216" t="s">
        <v>165</v>
      </c>
      <c r="Q80" s="216" t="s">
        <v>165</v>
      </c>
      <c r="R80" s="216">
        <f>'850 - Supermarket (WisDOT)'!D19</f>
        <v>8.5193199999999997E-2</v>
      </c>
      <c r="S80" s="216" t="s">
        <v>165</v>
      </c>
      <c r="T80" s="216" t="s">
        <v>165</v>
      </c>
      <c r="U80" s="216" t="s">
        <v>165</v>
      </c>
      <c r="V80" s="216" t="s">
        <v>165</v>
      </c>
      <c r="W80" s="216" t="s">
        <v>165</v>
      </c>
      <c r="X80" s="216">
        <f>'&lt;945 - Gas Station (WisDOT)&gt;'!D19</f>
        <v>5.8999999999999997E-2</v>
      </c>
      <c r="Y80" s="216">
        <f>'&lt;945 - Gas Station (WisDOT)&gt;'!D19</f>
        <v>5.8999999999999997E-2</v>
      </c>
      <c r="Z80" s="213" t="s">
        <v>165</v>
      </c>
    </row>
    <row r="81" spans="1:26" x14ac:dyDescent="0.2">
      <c r="A81" s="205" t="s">
        <v>142</v>
      </c>
      <c r="B81" s="217" t="s">
        <v>165</v>
      </c>
      <c r="C81" s="217" t="s">
        <v>165</v>
      </c>
      <c r="D81" s="216" t="s">
        <v>165</v>
      </c>
      <c r="E81" s="216" t="s">
        <v>165</v>
      </c>
      <c r="F81" s="216" t="s">
        <v>165</v>
      </c>
      <c r="G81" s="216" t="s">
        <v>165</v>
      </c>
      <c r="H81" s="216" t="s">
        <v>165</v>
      </c>
      <c r="I81" s="216" t="s">
        <v>165</v>
      </c>
      <c r="J81" s="216" t="s">
        <v>165</v>
      </c>
      <c r="K81" s="216" t="s">
        <v>165</v>
      </c>
      <c r="L81" s="216" t="s">
        <v>165</v>
      </c>
      <c r="M81" s="216" t="s">
        <v>165</v>
      </c>
      <c r="N81" s="216" t="s">
        <v>165</v>
      </c>
      <c r="O81" s="216" t="s">
        <v>165</v>
      </c>
      <c r="P81" s="216" t="s">
        <v>165</v>
      </c>
      <c r="Q81" s="216" t="s">
        <v>165</v>
      </c>
      <c r="R81" s="216" t="s">
        <v>165</v>
      </c>
      <c r="S81" s="216" t="s">
        <v>165</v>
      </c>
      <c r="T81" s="216" t="s">
        <v>165</v>
      </c>
      <c r="U81" s="216" t="s">
        <v>165</v>
      </c>
      <c r="V81" s="216" t="s">
        <v>165</v>
      </c>
      <c r="W81" s="216" t="s">
        <v>165</v>
      </c>
      <c r="X81" s="216">
        <f>'&lt;945 - Gas Station (WisDOT)&gt;'!D20</f>
        <v>3.6999999999999998E-2</v>
      </c>
      <c r="Y81" s="216">
        <f>'&lt;945 - Gas Station (WisDOT)&gt;'!D20</f>
        <v>3.6999999999999998E-2</v>
      </c>
      <c r="Z81" s="213" t="s">
        <v>165</v>
      </c>
    </row>
    <row r="82" spans="1:26" x14ac:dyDescent="0.2">
      <c r="A82" s="205" t="s">
        <v>160</v>
      </c>
      <c r="B82" s="217" t="s">
        <v>165</v>
      </c>
      <c r="C82" s="217" t="s">
        <v>165</v>
      </c>
      <c r="D82" s="216" t="s">
        <v>165</v>
      </c>
      <c r="E82" s="216" t="s">
        <v>165</v>
      </c>
      <c r="F82" s="216" t="s">
        <v>165</v>
      </c>
      <c r="G82" s="216" t="s">
        <v>165</v>
      </c>
      <c r="H82" s="216" t="s">
        <v>165</v>
      </c>
      <c r="I82" s="216" t="s">
        <v>165</v>
      </c>
      <c r="J82" s="216" t="s">
        <v>165</v>
      </c>
      <c r="K82" s="216" t="s">
        <v>165</v>
      </c>
      <c r="L82" s="216" t="s">
        <v>165</v>
      </c>
      <c r="M82" s="216" t="s">
        <v>165</v>
      </c>
      <c r="N82" s="216" t="s">
        <v>165</v>
      </c>
      <c r="O82" s="216" t="s">
        <v>165</v>
      </c>
      <c r="P82" s="216" t="s">
        <v>165</v>
      </c>
      <c r="Q82" s="216" t="s">
        <v>165</v>
      </c>
      <c r="R82" s="216" t="s">
        <v>165</v>
      </c>
      <c r="S82" s="216" t="s">
        <v>165</v>
      </c>
      <c r="T82" s="216" t="s">
        <v>165</v>
      </c>
      <c r="U82" s="216" t="s">
        <v>165</v>
      </c>
      <c r="V82" s="216" t="s">
        <v>165</v>
      </c>
      <c r="W82" s="216" t="s">
        <v>165</v>
      </c>
      <c r="X82" s="216" t="s">
        <v>165</v>
      </c>
      <c r="Y82" s="216" t="s">
        <v>165</v>
      </c>
      <c r="Z82" s="213" t="s">
        <v>165</v>
      </c>
    </row>
    <row r="83" spans="1:26" x14ac:dyDescent="0.2">
      <c r="A83" s="205" t="s">
        <v>161</v>
      </c>
      <c r="B83" s="217" t="s">
        <v>165</v>
      </c>
      <c r="C83" s="217" t="s">
        <v>165</v>
      </c>
      <c r="D83" s="216" t="s">
        <v>165</v>
      </c>
      <c r="E83" s="216" t="s">
        <v>165</v>
      </c>
      <c r="F83" s="216" t="s">
        <v>165</v>
      </c>
      <c r="G83" s="216" t="s">
        <v>165</v>
      </c>
      <c r="H83" s="216" t="s">
        <v>165</v>
      </c>
      <c r="I83" s="216" t="s">
        <v>165</v>
      </c>
      <c r="J83" s="216" t="s">
        <v>165</v>
      </c>
      <c r="K83" s="216" t="s">
        <v>165</v>
      </c>
      <c r="L83" s="216" t="s">
        <v>165</v>
      </c>
      <c r="M83" s="216" t="s">
        <v>165</v>
      </c>
      <c r="N83" s="216" t="s">
        <v>165</v>
      </c>
      <c r="O83" s="216" t="s">
        <v>165</v>
      </c>
      <c r="P83" s="216" t="s">
        <v>165</v>
      </c>
      <c r="Q83" s="216" t="s">
        <v>165</v>
      </c>
      <c r="R83" s="216" t="s">
        <v>165</v>
      </c>
      <c r="S83" s="216" t="s">
        <v>165</v>
      </c>
      <c r="T83" s="216" t="s">
        <v>165</v>
      </c>
      <c r="U83" s="216" t="s">
        <v>165</v>
      </c>
      <c r="V83" s="216" t="s">
        <v>165</v>
      </c>
      <c r="W83" s="216" t="s">
        <v>165</v>
      </c>
      <c r="X83" s="216" t="s">
        <v>165</v>
      </c>
      <c r="Y83" s="216" t="s">
        <v>165</v>
      </c>
      <c r="Z83" s="213" t="s">
        <v>165</v>
      </c>
    </row>
    <row r="84" spans="1:26" x14ac:dyDescent="0.2">
      <c r="A84" s="204" t="s">
        <v>186</v>
      </c>
      <c r="B84" s="217" t="s">
        <v>165</v>
      </c>
      <c r="C84" s="217" t="s">
        <v>165</v>
      </c>
      <c r="D84" s="216" t="s">
        <v>165</v>
      </c>
      <c r="E84" s="216" t="s">
        <v>165</v>
      </c>
      <c r="F84" s="216" t="s">
        <v>165</v>
      </c>
      <c r="G84" s="216" t="s">
        <v>165</v>
      </c>
      <c r="H84" s="216" t="s">
        <v>165</v>
      </c>
      <c r="I84" s="216" t="s">
        <v>165</v>
      </c>
      <c r="J84" s="216" t="s">
        <v>165</v>
      </c>
      <c r="K84" s="216" t="s">
        <v>165</v>
      </c>
      <c r="L84" s="216" t="s">
        <v>165</v>
      </c>
      <c r="M84" s="216" t="s">
        <v>165</v>
      </c>
      <c r="N84" s="216" t="s">
        <v>165</v>
      </c>
      <c r="O84" s="216" t="s">
        <v>165</v>
      </c>
      <c r="P84" s="216" t="s">
        <v>165</v>
      </c>
      <c r="Q84" s="216" t="s">
        <v>165</v>
      </c>
      <c r="R84" s="216" t="s">
        <v>165</v>
      </c>
      <c r="S84" s="216" t="s">
        <v>165</v>
      </c>
      <c r="T84" s="216" t="s">
        <v>165</v>
      </c>
      <c r="U84" s="216" t="s">
        <v>165</v>
      </c>
      <c r="V84" s="216" t="s">
        <v>165</v>
      </c>
      <c r="W84" s="216" t="s">
        <v>165</v>
      </c>
      <c r="X84" s="216" t="s">
        <v>165</v>
      </c>
      <c r="Y84" s="216" t="s">
        <v>165</v>
      </c>
      <c r="Z84" s="213" t="s">
        <v>165</v>
      </c>
    </row>
    <row r="85" spans="1:26" s="207" customFormat="1" x14ac:dyDescent="0.2">
      <c r="A85" s="206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2"/>
    </row>
    <row r="87" spans="1:26" x14ac:dyDescent="0.2">
      <c r="A87" s="242" t="s">
        <v>226</v>
      </c>
      <c r="B87" s="242"/>
    </row>
    <row r="88" spans="1:26" x14ac:dyDescent="0.2">
      <c r="A88" s="242"/>
      <c r="B88" s="242"/>
    </row>
    <row r="89" spans="1:26" x14ac:dyDescent="0.2">
      <c r="A89" s="11"/>
    </row>
    <row r="90" spans="1:26" x14ac:dyDescent="0.2">
      <c r="B90" s="219" t="s">
        <v>170</v>
      </c>
      <c r="C90" s="219" t="s">
        <v>215</v>
      </c>
      <c r="D90" s="266" t="s">
        <v>239</v>
      </c>
      <c r="E90" s="266" t="s">
        <v>241</v>
      </c>
      <c r="F90" s="266" t="s">
        <v>242</v>
      </c>
      <c r="G90" s="219" t="s">
        <v>218</v>
      </c>
      <c r="H90" s="266" t="s">
        <v>246</v>
      </c>
      <c r="I90" s="266" t="s">
        <v>219</v>
      </c>
      <c r="J90" s="266" t="s">
        <v>248</v>
      </c>
      <c r="K90" s="219" t="s">
        <v>220</v>
      </c>
      <c r="L90" s="219" t="s">
        <v>221</v>
      </c>
      <c r="M90" s="219" t="s">
        <v>222</v>
      </c>
      <c r="N90" s="266" t="s">
        <v>258</v>
      </c>
      <c r="O90" s="266" t="s">
        <v>257</v>
      </c>
      <c r="P90" s="266" t="s">
        <v>261</v>
      </c>
      <c r="Q90" s="266" t="s">
        <v>265</v>
      </c>
      <c r="R90" s="219" t="s">
        <v>223</v>
      </c>
      <c r="S90" s="219" t="s">
        <v>224</v>
      </c>
      <c r="T90" s="266" t="s">
        <v>274</v>
      </c>
      <c r="U90" s="266" t="s">
        <v>225</v>
      </c>
      <c r="V90" s="266" t="s">
        <v>279</v>
      </c>
      <c r="W90" s="266" t="s">
        <v>282</v>
      </c>
      <c r="X90" s="266" t="s">
        <v>288</v>
      </c>
      <c r="Y90" s="266" t="s">
        <v>289</v>
      </c>
      <c r="Z90" s="229" t="s">
        <v>230</v>
      </c>
    </row>
    <row r="91" spans="1:26" x14ac:dyDescent="0.2">
      <c r="B91" s="219" t="s">
        <v>38</v>
      </c>
      <c r="C91" s="219" t="s">
        <v>38</v>
      </c>
      <c r="D91" s="219" t="s">
        <v>38</v>
      </c>
      <c r="E91" s="219" t="s">
        <v>38</v>
      </c>
      <c r="F91" s="219" t="s">
        <v>38</v>
      </c>
      <c r="G91" s="219" t="s">
        <v>38</v>
      </c>
      <c r="H91" s="219" t="s">
        <v>38</v>
      </c>
      <c r="I91" s="219" t="s">
        <v>38</v>
      </c>
      <c r="J91" s="219" t="s">
        <v>38</v>
      </c>
      <c r="K91" s="219" t="s">
        <v>38</v>
      </c>
      <c r="L91" s="219" t="s">
        <v>38</v>
      </c>
      <c r="M91" s="219" t="s">
        <v>38</v>
      </c>
      <c r="N91" s="219" t="s">
        <v>38</v>
      </c>
      <c r="O91" s="219" t="s">
        <v>38</v>
      </c>
      <c r="P91" s="219" t="s">
        <v>38</v>
      </c>
      <c r="Q91" s="219" t="s">
        <v>38</v>
      </c>
      <c r="R91" s="219" t="s">
        <v>38</v>
      </c>
      <c r="S91" s="219" t="s">
        <v>38</v>
      </c>
      <c r="T91" s="219" t="s">
        <v>38</v>
      </c>
      <c r="U91" s="219" t="s">
        <v>38</v>
      </c>
      <c r="V91" s="219" t="s">
        <v>38</v>
      </c>
      <c r="W91" s="219" t="s">
        <v>38</v>
      </c>
      <c r="X91" s="219" t="s">
        <v>38</v>
      </c>
      <c r="Y91" s="219" t="s">
        <v>38</v>
      </c>
      <c r="Z91" s="219" t="s">
        <v>38</v>
      </c>
    </row>
    <row r="92" spans="1:26" x14ac:dyDescent="0.2">
      <c r="A92" s="129" t="s">
        <v>26</v>
      </c>
      <c r="B92" s="214" t="s">
        <v>165</v>
      </c>
      <c r="C92" s="214" t="s">
        <v>165</v>
      </c>
      <c r="D92" s="216" t="s">
        <v>165</v>
      </c>
      <c r="E92" s="216">
        <f>'210-Single Family (ITE)'!E7</f>
        <v>3.8E-3</v>
      </c>
      <c r="F92" s="216" t="s">
        <v>165</v>
      </c>
      <c r="G92" s="133">
        <f>'430 - Golf Course (ITE)'!E7</f>
        <v>6.8000000000000005E-2</v>
      </c>
      <c r="H92" s="216" t="s">
        <v>165</v>
      </c>
      <c r="I92" s="216" t="s">
        <v>165</v>
      </c>
      <c r="J92" s="216" t="s">
        <v>165</v>
      </c>
      <c r="K92" s="133">
        <f>'565 - Day Care (ITE)'!E7</f>
        <v>0</v>
      </c>
      <c r="L92" s="216" t="s">
        <v>165</v>
      </c>
      <c r="M92" s="216" t="s">
        <v>165</v>
      </c>
      <c r="N92" s="133">
        <f>'813 - Discount Superstore (ITE)'!E7</f>
        <v>7.6E-3</v>
      </c>
      <c r="O92" s="133">
        <f>'815 - Discount Store (ITE)'!E7</f>
        <v>0</v>
      </c>
      <c r="P92" s="133">
        <f>'820 - Shopping Center (ITE)'!E7</f>
        <v>2.7000000000000001E-3</v>
      </c>
      <c r="Q92" s="216" t="s">
        <v>165</v>
      </c>
      <c r="R92" s="216">
        <f>'850-Supermarket (ITE)'!E7</f>
        <v>5.0000000000000001E-4</v>
      </c>
      <c r="S92" s="133">
        <f>'857 - Discount Club (ITE)'!E7</f>
        <v>3.0000000000000001E-3</v>
      </c>
      <c r="T92" s="216">
        <f>'862-Home Improvement (ITE)'!E7</f>
        <v>1.06E-2</v>
      </c>
      <c r="U92" s="216">
        <f>'875-Department Store (ITE)'!E7</f>
        <v>1E-3</v>
      </c>
      <c r="V92" s="133">
        <f>'932 - HTSD Restaurant (ITE)'!E7</f>
        <v>2.8E-3</v>
      </c>
      <c r="W92" s="216">
        <f>'934 - Fast-Food w Drive (ITE)'!E7</f>
        <v>4.5999999999999999E-3</v>
      </c>
      <c r="X92" s="216" t="s">
        <v>165</v>
      </c>
      <c r="Y92" s="216" t="s">
        <v>165</v>
      </c>
      <c r="Z92" s="216" t="s">
        <v>165</v>
      </c>
    </row>
    <row r="93" spans="1:26" x14ac:dyDescent="0.2">
      <c r="A93" s="129" t="s">
        <v>27</v>
      </c>
      <c r="B93" s="214" t="s">
        <v>165</v>
      </c>
      <c r="C93" s="214" t="s">
        <v>165</v>
      </c>
      <c r="D93" s="216" t="s">
        <v>165</v>
      </c>
      <c r="E93" s="216">
        <f>'210-Single Family (ITE)'!E8</f>
        <v>7.7000000000000002E-3</v>
      </c>
      <c r="F93" s="216" t="s">
        <v>165</v>
      </c>
      <c r="G93" s="133">
        <f>'430 - Golf Course (ITE)'!E8</f>
        <v>7.6999999999999999E-2</v>
      </c>
      <c r="H93" s="216" t="s">
        <v>165</v>
      </c>
      <c r="I93" s="216" t="s">
        <v>165</v>
      </c>
      <c r="J93" s="216" t="s">
        <v>165</v>
      </c>
      <c r="K93" s="133">
        <f>'565 - Day Care (ITE)'!E8</f>
        <v>0</v>
      </c>
      <c r="L93" s="216" t="s">
        <v>165</v>
      </c>
      <c r="M93" s="216" t="s">
        <v>165</v>
      </c>
      <c r="N93" s="133">
        <f>'813 - Discount Superstore (ITE)'!E8</f>
        <v>1.23E-2</v>
      </c>
      <c r="O93" s="133">
        <f>'815 - Discount Store (ITE)'!E8</f>
        <v>5.1000000000000004E-3</v>
      </c>
      <c r="P93" s="133">
        <f>'820 - Shopping Center (ITE)'!E8</f>
        <v>8.0000000000000002E-3</v>
      </c>
      <c r="Q93" s="216" t="s">
        <v>165</v>
      </c>
      <c r="R93" s="216">
        <f>'850-Supermarket (ITE)'!E8</f>
        <v>4.8000000000000004E-3</v>
      </c>
      <c r="S93" s="133">
        <f>'857 - Discount Club (ITE)'!E8</f>
        <v>5.0000000000000001E-3</v>
      </c>
      <c r="T93" s="216">
        <f>'862-Home Improvement (ITE)'!E8</f>
        <v>3.3700000000000001E-2</v>
      </c>
      <c r="U93" s="216">
        <f>'875-Department Store (ITE)'!E8</f>
        <v>8.0000000000000002E-3</v>
      </c>
      <c r="V93" s="133">
        <f>'932 - HTSD Restaurant (ITE)'!E8</f>
        <v>1.95E-2</v>
      </c>
      <c r="W93" s="216">
        <f>'934 - Fast-Food w Drive (ITE)'!E8</f>
        <v>1.2200000000000001E-2</v>
      </c>
      <c r="X93" s="216" t="s">
        <v>165</v>
      </c>
      <c r="Y93" s="216" t="s">
        <v>165</v>
      </c>
      <c r="Z93" s="216" t="s">
        <v>165</v>
      </c>
    </row>
    <row r="94" spans="1:26" x14ac:dyDescent="0.2">
      <c r="A94" s="129" t="s">
        <v>28</v>
      </c>
      <c r="B94" s="214" t="s">
        <v>165</v>
      </c>
      <c r="C94" s="214" t="s">
        <v>165</v>
      </c>
      <c r="D94" s="216" t="s">
        <v>165</v>
      </c>
      <c r="E94" s="216">
        <f>'210-Single Family (ITE)'!E9</f>
        <v>2.5000000000000001E-2</v>
      </c>
      <c r="F94" s="216" t="s">
        <v>165</v>
      </c>
      <c r="G94" s="133">
        <f>'430 - Golf Course (ITE)'!E9</f>
        <v>0.08</v>
      </c>
      <c r="H94" s="216" t="s">
        <v>165</v>
      </c>
      <c r="I94" s="216" t="s">
        <v>165</v>
      </c>
      <c r="J94" s="216" t="s">
        <v>165</v>
      </c>
      <c r="K94" s="133">
        <f>'565 - Day Care (ITE)'!E9</f>
        <v>0.06</v>
      </c>
      <c r="L94" s="216" t="s">
        <v>165</v>
      </c>
      <c r="M94" s="216" t="s">
        <v>165</v>
      </c>
      <c r="N94" s="133">
        <f>'813 - Discount Superstore (ITE)'!E9</f>
        <v>3.4300000000000004E-2</v>
      </c>
      <c r="O94" s="133">
        <f>'815 - Discount Store (ITE)'!E9</f>
        <v>1.09E-2</v>
      </c>
      <c r="P94" s="133">
        <f>'820 - Shopping Center (ITE)'!E9</f>
        <v>1.5600000000000001E-2</v>
      </c>
      <c r="Q94" s="216" t="s">
        <v>165</v>
      </c>
      <c r="R94" s="216">
        <f>'850-Supermarket (ITE)'!E9</f>
        <v>3.9100000000000003E-2</v>
      </c>
      <c r="S94" s="133">
        <f>'857 - Discount Club (ITE)'!E9</f>
        <v>1.2E-2</v>
      </c>
      <c r="T94" s="216">
        <f>'862-Home Improvement (ITE)'!E9</f>
        <v>5.6900000000000006E-2</v>
      </c>
      <c r="U94" s="216">
        <f>'875-Department Store (ITE)'!E9</f>
        <v>2.4E-2</v>
      </c>
      <c r="V94" s="133">
        <f>'932 - HTSD Restaurant (ITE)'!E9</f>
        <v>5.16E-2</v>
      </c>
      <c r="W94" s="216">
        <f>'934 - Fast-Food w Drive (ITE)'!E9</f>
        <v>1.54E-2</v>
      </c>
      <c r="X94" s="216" t="s">
        <v>165</v>
      </c>
      <c r="Y94" s="216" t="s">
        <v>165</v>
      </c>
      <c r="Z94" s="216" t="s">
        <v>165</v>
      </c>
    </row>
    <row r="95" spans="1:26" x14ac:dyDescent="0.2">
      <c r="A95" s="129" t="s">
        <v>29</v>
      </c>
      <c r="B95" s="214" t="s">
        <v>165</v>
      </c>
      <c r="C95" s="214" t="s">
        <v>165</v>
      </c>
      <c r="D95" s="216" t="s">
        <v>165</v>
      </c>
      <c r="E95" s="216">
        <f>'210-Single Family (ITE)'!E10</f>
        <v>0.05</v>
      </c>
      <c r="F95" s="216" t="s">
        <v>165</v>
      </c>
      <c r="G95" s="133">
        <f>'430 - Golf Course (ITE)'!E10</f>
        <v>8.8999999999999996E-2</v>
      </c>
      <c r="H95" s="216" t="s">
        <v>165</v>
      </c>
      <c r="I95" s="216" t="s">
        <v>165</v>
      </c>
      <c r="J95" s="216" t="s">
        <v>165</v>
      </c>
      <c r="K95" s="133">
        <f>'565 - Day Care (ITE)'!E10</f>
        <v>0.02</v>
      </c>
      <c r="L95" s="216" t="s">
        <v>165</v>
      </c>
      <c r="M95" s="216" t="s">
        <v>165</v>
      </c>
      <c r="N95" s="133">
        <f>'813 - Discount Superstore (ITE)'!E10</f>
        <v>5.21E-2</v>
      </c>
      <c r="O95" s="133">
        <f>'815 - Discount Store (ITE)'!E10</f>
        <v>5.5200000000000006E-2</v>
      </c>
      <c r="P95" s="133">
        <f>'820 - Shopping Center (ITE)'!E10</f>
        <v>4.1399999999999999E-2</v>
      </c>
      <c r="Q95" s="216" t="s">
        <v>165</v>
      </c>
      <c r="R95" s="216">
        <f>'850-Supermarket (ITE)'!E10</f>
        <v>6.6400000000000001E-2</v>
      </c>
      <c r="S95" s="133">
        <f>'857 - Discount Club (ITE)'!E10</f>
        <v>3.9E-2</v>
      </c>
      <c r="T95" s="216">
        <f>'862-Home Improvement (ITE)'!E10</f>
        <v>6.93E-2</v>
      </c>
      <c r="U95" s="216">
        <f>'875-Department Store (ITE)'!E10</f>
        <v>4.9000000000000002E-2</v>
      </c>
      <c r="V95" s="133">
        <f>'932 - HTSD Restaurant (ITE)'!E10</f>
        <v>5.8600000000000006E-2</v>
      </c>
      <c r="W95" s="216">
        <f>'934 - Fast-Food w Drive (ITE)'!E10</f>
        <v>2.24E-2</v>
      </c>
      <c r="X95" s="216" t="s">
        <v>165</v>
      </c>
      <c r="Y95" s="216" t="s">
        <v>165</v>
      </c>
      <c r="Z95" s="216" t="s">
        <v>165</v>
      </c>
    </row>
    <row r="96" spans="1:26" x14ac:dyDescent="0.2">
      <c r="A96" s="129" t="s">
        <v>30</v>
      </c>
      <c r="B96" s="214" t="s">
        <v>165</v>
      </c>
      <c r="C96" s="214" t="s">
        <v>165</v>
      </c>
      <c r="D96" s="216" t="s">
        <v>165</v>
      </c>
      <c r="E96" s="216">
        <f>'210-Single Family (ITE)'!E11</f>
        <v>6.1500000000000006E-2</v>
      </c>
      <c r="F96" s="216" t="s">
        <v>165</v>
      </c>
      <c r="G96" s="133">
        <f>'430 - Golf Course (ITE)'!E11</f>
        <v>8.4000000000000005E-2</v>
      </c>
      <c r="H96" s="216" t="s">
        <v>165</v>
      </c>
      <c r="I96" s="216" t="s">
        <v>165</v>
      </c>
      <c r="J96" s="216" t="s">
        <v>165</v>
      </c>
      <c r="K96" s="133">
        <f>'565 - Day Care (ITE)'!E11</f>
        <v>0.04</v>
      </c>
      <c r="L96" s="216" t="s">
        <v>165</v>
      </c>
      <c r="M96" s="216" t="s">
        <v>165</v>
      </c>
      <c r="N96" s="133">
        <f>'813 - Discount Superstore (ITE)'!E11</f>
        <v>6.8100000000000008E-2</v>
      </c>
      <c r="O96" s="133">
        <f>'815 - Discount Store (ITE)'!E11</f>
        <v>0.1009</v>
      </c>
      <c r="P96" s="133">
        <f>'820 - Shopping Center (ITE)'!E11</f>
        <v>7.9500000000000001E-2</v>
      </c>
      <c r="Q96" s="216" t="s">
        <v>165</v>
      </c>
      <c r="R96" s="216">
        <f>'850-Supermarket (ITE)'!E11</f>
        <v>8.5699999999999998E-2</v>
      </c>
      <c r="S96" s="133">
        <f>'857 - Discount Club (ITE)'!E11</f>
        <v>7.0000000000000007E-2</v>
      </c>
      <c r="T96" s="216">
        <f>'862-Home Improvement (ITE)'!E11</f>
        <v>8.9400000000000007E-2</v>
      </c>
      <c r="U96" s="216">
        <f>'875-Department Store (ITE)'!E11</f>
        <v>7.4999999999999997E-2</v>
      </c>
      <c r="V96" s="133">
        <f>'932 - HTSD Restaurant (ITE)'!E11</f>
        <v>7.5300000000000006E-2</v>
      </c>
      <c r="W96" s="216">
        <f>'934 - Fast-Food w Drive (ITE)'!E11</f>
        <v>3.2199999999999999E-2</v>
      </c>
      <c r="X96" s="216" t="s">
        <v>165</v>
      </c>
      <c r="Y96" s="216" t="s">
        <v>165</v>
      </c>
      <c r="Z96" s="216" t="s">
        <v>165</v>
      </c>
    </row>
    <row r="97" spans="1:26" x14ac:dyDescent="0.2">
      <c r="A97" s="129" t="s">
        <v>37</v>
      </c>
      <c r="B97" s="214" t="s">
        <v>165</v>
      </c>
      <c r="C97" s="214" t="s">
        <v>165</v>
      </c>
      <c r="D97" s="216" t="s">
        <v>165</v>
      </c>
      <c r="E97" s="216">
        <f>'210-Single Family (ITE)'!E12</f>
        <v>8.6500000000000007E-2</v>
      </c>
      <c r="F97" s="216" t="s">
        <v>165</v>
      </c>
      <c r="G97" s="133">
        <f>'430 - Golf Course (ITE)'!E12</f>
        <v>7.4999999999999997E-2</v>
      </c>
      <c r="H97" s="216" t="s">
        <v>165</v>
      </c>
      <c r="I97" s="216" t="s">
        <v>165</v>
      </c>
      <c r="J97" s="216" t="s">
        <v>165</v>
      </c>
      <c r="K97" s="133">
        <f>'565 - Day Care (ITE)'!E12</f>
        <v>0.14000000000000001</v>
      </c>
      <c r="L97" s="216" t="s">
        <v>165</v>
      </c>
      <c r="M97" s="216" t="s">
        <v>165</v>
      </c>
      <c r="N97" s="133">
        <f>'813 - Discount Superstore (ITE)'!E12</f>
        <v>9.0300000000000005E-2</v>
      </c>
      <c r="O97" s="133">
        <f>'815 - Discount Store (ITE)'!E12</f>
        <v>0.11270000000000001</v>
      </c>
      <c r="P97" s="133">
        <f>'820 - Shopping Center (ITE)'!E12</f>
        <v>9.7000000000000003E-2</v>
      </c>
      <c r="Q97" s="216" t="s">
        <v>165</v>
      </c>
      <c r="R97" s="216">
        <f>'850-Supermarket (ITE)'!E12</f>
        <v>0.11360000000000001</v>
      </c>
      <c r="S97" s="133">
        <f>'857 - Discount Club (ITE)'!E12</f>
        <v>0.11</v>
      </c>
      <c r="T97" s="216">
        <f>'862-Home Improvement (ITE)'!E12</f>
        <v>8.9099999999999999E-2</v>
      </c>
      <c r="U97" s="216">
        <f>'875-Department Store (ITE)'!E12</f>
        <v>8.8999999999999996E-2</v>
      </c>
      <c r="V97" s="133">
        <f>'932 - HTSD Restaurant (ITE)'!E12</f>
        <v>7.1099999999999997E-2</v>
      </c>
      <c r="W97" s="216">
        <f>'934 - Fast-Food w Drive (ITE)'!E12</f>
        <v>7.2099999999999997E-2</v>
      </c>
      <c r="X97" s="216" t="s">
        <v>165</v>
      </c>
      <c r="Y97" s="216" t="s">
        <v>165</v>
      </c>
      <c r="Z97" s="216" t="s">
        <v>165</v>
      </c>
    </row>
    <row r="98" spans="1:26" x14ac:dyDescent="0.2">
      <c r="A98" s="129" t="s">
        <v>31</v>
      </c>
      <c r="B98" s="214" t="s">
        <v>165</v>
      </c>
      <c r="C98" s="214" t="s">
        <v>165</v>
      </c>
      <c r="D98" s="216" t="s">
        <v>165</v>
      </c>
      <c r="E98" s="216">
        <f>'210-Single Family (ITE)'!E13</f>
        <v>7.3099999999999998E-2</v>
      </c>
      <c r="F98" s="216" t="s">
        <v>165</v>
      </c>
      <c r="G98" s="133">
        <f>'430 - Golf Course (ITE)'!E13</f>
        <v>6.4000000000000001E-2</v>
      </c>
      <c r="H98" s="216" t="s">
        <v>165</v>
      </c>
      <c r="I98" s="216" t="s">
        <v>165</v>
      </c>
      <c r="J98" s="216" t="s">
        <v>165</v>
      </c>
      <c r="K98" s="133">
        <f>'565 - Day Care (ITE)'!E13</f>
        <v>0.02</v>
      </c>
      <c r="L98" s="216" t="s">
        <v>165</v>
      </c>
      <c r="M98" s="216" t="s">
        <v>165</v>
      </c>
      <c r="N98" s="133">
        <f>'813 - Discount Superstore (ITE)'!E13</f>
        <v>9.8500000000000004E-2</v>
      </c>
      <c r="O98" s="133">
        <f>'815 - Discount Store (ITE)'!E13</f>
        <v>0.12150000000000001</v>
      </c>
      <c r="P98" s="133">
        <f>'820 - Shopping Center (ITE)'!E13</f>
        <v>0.10250000000000001</v>
      </c>
      <c r="Q98" s="216" t="s">
        <v>165</v>
      </c>
      <c r="R98" s="216">
        <f>'850-Supermarket (ITE)'!E13</f>
        <v>0.1061</v>
      </c>
      <c r="S98" s="133">
        <f>'857 - Discount Club (ITE)'!E13</f>
        <v>0.126</v>
      </c>
      <c r="T98" s="216">
        <f>'862-Home Improvement (ITE)'!E13</f>
        <v>8.1700000000000009E-2</v>
      </c>
      <c r="U98" s="216">
        <f>'875-Department Store (ITE)'!E13</f>
        <v>9.0999999999999998E-2</v>
      </c>
      <c r="V98" s="133">
        <f>'932 - HTSD Restaurant (ITE)'!E13</f>
        <v>8.09E-2</v>
      </c>
      <c r="W98" s="216">
        <f>'934 - Fast-Food w Drive (ITE)'!E13</f>
        <v>0.10350000000000001</v>
      </c>
      <c r="X98" s="216" t="s">
        <v>165</v>
      </c>
      <c r="Y98" s="216" t="s">
        <v>165</v>
      </c>
      <c r="Z98" s="216" t="s">
        <v>165</v>
      </c>
    </row>
    <row r="99" spans="1:26" x14ac:dyDescent="0.2">
      <c r="A99" s="129" t="s">
        <v>32</v>
      </c>
      <c r="B99" s="214" t="s">
        <v>165</v>
      </c>
      <c r="C99" s="214" t="s">
        <v>165</v>
      </c>
      <c r="D99" s="216" t="s">
        <v>165</v>
      </c>
      <c r="E99" s="216">
        <f>'210-Single Family (ITE)'!E14</f>
        <v>7.1199999999999999E-2</v>
      </c>
      <c r="F99" s="216" t="s">
        <v>165</v>
      </c>
      <c r="G99" s="133">
        <f>'430 - Golf Course (ITE)'!E14</f>
        <v>7.4999999999999997E-2</v>
      </c>
      <c r="H99" s="216" t="s">
        <v>165</v>
      </c>
      <c r="I99" s="216" t="s">
        <v>165</v>
      </c>
      <c r="J99" s="216" t="s">
        <v>165</v>
      </c>
      <c r="K99" s="133">
        <f>'565 - Day Care (ITE)'!E14</f>
        <v>0.16</v>
      </c>
      <c r="L99" s="216" t="s">
        <v>165</v>
      </c>
      <c r="M99" s="216" t="s">
        <v>165</v>
      </c>
      <c r="N99" s="133">
        <f>'813 - Discount Superstore (ITE)'!E14</f>
        <v>9.3600000000000003E-2</v>
      </c>
      <c r="O99" s="133">
        <f>'815 - Discount Store (ITE)'!E14</f>
        <v>0.13730000000000001</v>
      </c>
      <c r="P99" s="133">
        <f>'820 - Shopping Center (ITE)'!E14</f>
        <v>0.1037</v>
      </c>
      <c r="Q99" s="216" t="s">
        <v>165</v>
      </c>
      <c r="R99" s="216">
        <f>'850-Supermarket (ITE)'!E14</f>
        <v>0.1125</v>
      </c>
      <c r="S99" s="133">
        <f>'857 - Discount Club (ITE)'!E14</f>
        <v>0.129</v>
      </c>
      <c r="T99" s="216">
        <f>'862-Home Improvement (ITE)'!E14</f>
        <v>8.660000000000001E-2</v>
      </c>
      <c r="U99" s="216">
        <f>'875-Department Store (ITE)'!E14</f>
        <v>0.112</v>
      </c>
      <c r="V99" s="133">
        <f>'932 - HTSD Restaurant (ITE)'!E14</f>
        <v>4.5999999999999999E-2</v>
      </c>
      <c r="W99" s="216">
        <f>'934 - Fast-Food w Drive (ITE)'!E14</f>
        <v>8.43E-2</v>
      </c>
      <c r="X99" s="216" t="s">
        <v>165</v>
      </c>
      <c r="Y99" s="216" t="s">
        <v>165</v>
      </c>
      <c r="Z99" s="216" t="s">
        <v>165</v>
      </c>
    </row>
    <row r="100" spans="1:26" x14ac:dyDescent="0.2">
      <c r="A100" s="129" t="s">
        <v>33</v>
      </c>
      <c r="B100" s="214" t="s">
        <v>165</v>
      </c>
      <c r="C100" s="214" t="s">
        <v>165</v>
      </c>
      <c r="D100" s="216" t="s">
        <v>165</v>
      </c>
      <c r="E100" s="216">
        <f>'210-Single Family (ITE)'!E15</f>
        <v>8.6500000000000007E-2</v>
      </c>
      <c r="F100" s="216" t="s">
        <v>165</v>
      </c>
      <c r="G100" s="133">
        <f>'430 - Golf Course (ITE)'!E15</f>
        <v>6.8000000000000005E-2</v>
      </c>
      <c r="H100" s="216" t="s">
        <v>165</v>
      </c>
      <c r="I100" s="216" t="s">
        <v>165</v>
      </c>
      <c r="J100" s="216" t="s">
        <v>165</v>
      </c>
      <c r="K100" s="133">
        <f>'565 - Day Care (ITE)'!E15</f>
        <v>0.18</v>
      </c>
      <c r="L100" s="216" t="s">
        <v>165</v>
      </c>
      <c r="M100" s="216" t="s">
        <v>165</v>
      </c>
      <c r="N100" s="133">
        <f>'813 - Discount Superstore (ITE)'!E15</f>
        <v>0.1028</v>
      </c>
      <c r="O100" s="133">
        <f>'815 - Discount Store (ITE)'!E15</f>
        <v>0.12430000000000001</v>
      </c>
      <c r="P100" s="133">
        <f>'820 - Shopping Center (ITE)'!E15</f>
        <v>0.1022</v>
      </c>
      <c r="Q100" s="216" t="s">
        <v>165</v>
      </c>
      <c r="R100" s="216">
        <f>'850-Supermarket (ITE)'!E15</f>
        <v>9.11E-2</v>
      </c>
      <c r="S100" s="133">
        <f>'857 - Discount Club (ITE)'!E15</f>
        <v>0.13200000000000001</v>
      </c>
      <c r="T100" s="216">
        <f>'862-Home Improvement (ITE)'!E15</f>
        <v>9.2100000000000001E-2</v>
      </c>
      <c r="U100" s="216">
        <f>'875-Department Store (ITE)'!E15</f>
        <v>0.112</v>
      </c>
      <c r="V100" s="133">
        <f>'932 - HTSD Restaurant (ITE)'!E15</f>
        <v>3.9100000000000003E-2</v>
      </c>
      <c r="W100" s="216">
        <f>'934 - Fast-Food w Drive (ITE)'!E15</f>
        <v>7.6700000000000004E-2</v>
      </c>
      <c r="X100" s="216" t="s">
        <v>165</v>
      </c>
      <c r="Y100" s="216" t="s">
        <v>165</v>
      </c>
      <c r="Z100" s="216" t="s">
        <v>165</v>
      </c>
    </row>
    <row r="101" spans="1:26" x14ac:dyDescent="0.2">
      <c r="A101" s="129" t="s">
        <v>34</v>
      </c>
      <c r="B101" s="214" t="s">
        <v>165</v>
      </c>
      <c r="C101" s="214" t="s">
        <v>165</v>
      </c>
      <c r="D101" s="216" t="s">
        <v>165</v>
      </c>
      <c r="E101" s="216">
        <f>'210-Single Family (ITE)'!E16</f>
        <v>9.8100000000000007E-2</v>
      </c>
      <c r="F101" s="216" t="s">
        <v>165</v>
      </c>
      <c r="G101" s="133">
        <f>'430 - Golf Course (ITE)'!E16</f>
        <v>6.8000000000000005E-2</v>
      </c>
      <c r="H101" s="216" t="s">
        <v>165</v>
      </c>
      <c r="I101" s="216" t="s">
        <v>165</v>
      </c>
      <c r="J101" s="216" t="s">
        <v>165</v>
      </c>
      <c r="K101" s="133">
        <f>'565 - Day Care (ITE)'!E16</f>
        <v>0.02</v>
      </c>
      <c r="L101" s="216" t="s">
        <v>165</v>
      </c>
      <c r="M101" s="216" t="s">
        <v>165</v>
      </c>
      <c r="N101" s="133">
        <f>'813 - Discount Superstore (ITE)'!E16</f>
        <v>9.6300000000000011E-2</v>
      </c>
      <c r="O101" s="133">
        <f>'815 - Discount Store (ITE)'!E16</f>
        <v>0.11610000000000001</v>
      </c>
      <c r="P101" s="133">
        <f>'820 - Shopping Center (ITE)'!E16</f>
        <v>9.2600000000000002E-2</v>
      </c>
      <c r="Q101" s="216" t="s">
        <v>165</v>
      </c>
      <c r="R101" s="216">
        <f>'850-Supermarket (ITE)'!E16</f>
        <v>9.8600000000000007E-2</v>
      </c>
      <c r="S101" s="133">
        <f>'857 - Discount Club (ITE)'!E16</f>
        <v>0.109</v>
      </c>
      <c r="T101" s="216">
        <f>'862-Home Improvement (ITE)'!E16</f>
        <v>7.8700000000000006E-2</v>
      </c>
      <c r="U101" s="216">
        <f>'875-Department Store (ITE)'!E16</f>
        <v>0.105</v>
      </c>
      <c r="V101" s="133">
        <f>'932 - HTSD Restaurant (ITE)'!E16</f>
        <v>5.3000000000000005E-2</v>
      </c>
      <c r="W101" s="216">
        <f>'934 - Fast-Food w Drive (ITE)'!E16</f>
        <v>7.17E-2</v>
      </c>
      <c r="X101" s="216" t="s">
        <v>165</v>
      </c>
      <c r="Y101" s="216" t="s">
        <v>165</v>
      </c>
      <c r="Z101" s="216" t="s">
        <v>165</v>
      </c>
    </row>
    <row r="102" spans="1:26" x14ac:dyDescent="0.2">
      <c r="A102" s="129" t="s">
        <v>35</v>
      </c>
      <c r="B102" s="214" t="s">
        <v>165</v>
      </c>
      <c r="C102" s="214" t="s">
        <v>165</v>
      </c>
      <c r="D102" s="216" t="s">
        <v>165</v>
      </c>
      <c r="E102" s="216">
        <f>'210-Single Family (ITE)'!E17</f>
        <v>6.9199999999999998E-2</v>
      </c>
      <c r="F102" s="216" t="s">
        <v>165</v>
      </c>
      <c r="G102" s="133">
        <f>'430 - Golf Course (ITE)'!E17</f>
        <v>8.1000000000000003E-2</v>
      </c>
      <c r="H102" s="216" t="s">
        <v>165</v>
      </c>
      <c r="I102" s="216" t="s">
        <v>165</v>
      </c>
      <c r="J102" s="216" t="s">
        <v>165</v>
      </c>
      <c r="K102" s="133">
        <f>'565 - Day Care (ITE)'!E17</f>
        <v>0.04</v>
      </c>
      <c r="L102" s="216" t="s">
        <v>165</v>
      </c>
      <c r="M102" s="216" t="s">
        <v>165</v>
      </c>
      <c r="N102" s="133">
        <f>'813 - Discount Superstore (ITE)'!E17</f>
        <v>8.8900000000000007E-2</v>
      </c>
      <c r="O102" s="133">
        <f>'815 - Discount Store (ITE)'!E17</f>
        <v>0.1004</v>
      </c>
      <c r="P102" s="133">
        <f>'820 - Shopping Center (ITE)'!E17</f>
        <v>8.77E-2</v>
      </c>
      <c r="Q102" s="216" t="s">
        <v>165</v>
      </c>
      <c r="R102" s="216">
        <f>'850-Supermarket (ITE)'!E17</f>
        <v>9.0000000000000011E-2</v>
      </c>
      <c r="S102" s="133">
        <f>'857 - Discount Club (ITE)'!E17</f>
        <v>9.4E-2</v>
      </c>
      <c r="T102" s="216">
        <f>'862-Home Improvement (ITE)'!E17</f>
        <v>7.4900000000000008E-2</v>
      </c>
      <c r="U102" s="216">
        <f>'875-Department Store (ITE)'!E17</f>
        <v>0.09</v>
      </c>
      <c r="V102" s="133">
        <f>'932 - HTSD Restaurant (ITE)'!E17</f>
        <v>5.4400000000000004E-2</v>
      </c>
      <c r="W102" s="216">
        <f>'934 - Fast-Food w Drive (ITE)'!E17</f>
        <v>7.6700000000000004E-2</v>
      </c>
      <c r="X102" s="216" t="s">
        <v>165</v>
      </c>
      <c r="Y102" s="216" t="s">
        <v>165</v>
      </c>
      <c r="Z102" s="216" t="s">
        <v>165</v>
      </c>
    </row>
    <row r="103" spans="1:26" x14ac:dyDescent="0.2">
      <c r="A103" s="129" t="s">
        <v>36</v>
      </c>
      <c r="B103" s="214" t="s">
        <v>165</v>
      </c>
      <c r="C103" s="214" t="s">
        <v>165</v>
      </c>
      <c r="D103" s="216" t="s">
        <v>165</v>
      </c>
      <c r="E103" s="216">
        <f>'210-Single Family (ITE)'!E18</f>
        <v>9.6200000000000008E-2</v>
      </c>
      <c r="F103" s="216" t="s">
        <v>165</v>
      </c>
      <c r="G103" s="133">
        <f>'430 - Golf Course (ITE)'!E18</f>
        <v>4.3999999999999997E-2</v>
      </c>
      <c r="H103" s="216" t="s">
        <v>165</v>
      </c>
      <c r="I103" s="216" t="s">
        <v>165</v>
      </c>
      <c r="J103" s="216" t="s">
        <v>165</v>
      </c>
      <c r="K103" s="133">
        <f>'565 - Day Care (ITE)'!E18</f>
        <v>0.12</v>
      </c>
      <c r="L103" s="216" t="s">
        <v>165</v>
      </c>
      <c r="M103" s="216" t="s">
        <v>165</v>
      </c>
      <c r="N103" s="133">
        <f>'813 - Discount Superstore (ITE)'!E18</f>
        <v>6.6200000000000009E-2</v>
      </c>
      <c r="O103" s="133">
        <f>'815 - Discount Store (ITE)'!E18</f>
        <v>8.1100000000000005E-2</v>
      </c>
      <c r="P103" s="133">
        <f>'820 - Shopping Center (ITE)'!E18</f>
        <v>8.3600000000000008E-2</v>
      </c>
      <c r="Q103" s="216" t="s">
        <v>165</v>
      </c>
      <c r="R103" s="216">
        <f>'850-Supermarket (ITE)'!E18</f>
        <v>6.7500000000000004E-2</v>
      </c>
      <c r="S103" s="133">
        <f>'857 - Discount Club (ITE)'!E18</f>
        <v>6.7000000000000004E-2</v>
      </c>
      <c r="T103" s="216">
        <f>'862-Home Improvement (ITE)'!E18</f>
        <v>7.5499999999999998E-2</v>
      </c>
      <c r="U103" s="216">
        <f>'875-Department Store (ITE)'!E18</f>
        <v>7.8E-2</v>
      </c>
      <c r="V103" s="133">
        <f>'932 - HTSD Restaurant (ITE)'!E18</f>
        <v>0.1004</v>
      </c>
      <c r="W103" s="216">
        <f>'934 - Fast-Food w Drive (ITE)'!E18</f>
        <v>8.7100000000000011E-2</v>
      </c>
      <c r="X103" s="216" t="s">
        <v>165</v>
      </c>
      <c r="Y103" s="216" t="s">
        <v>165</v>
      </c>
      <c r="Z103" s="216" t="s">
        <v>165</v>
      </c>
    </row>
    <row r="104" spans="1:26" x14ac:dyDescent="0.2">
      <c r="A104" s="204" t="s">
        <v>141</v>
      </c>
      <c r="B104" s="214" t="s">
        <v>165</v>
      </c>
      <c r="C104" s="214" t="s">
        <v>165</v>
      </c>
      <c r="D104" s="216" t="s">
        <v>165</v>
      </c>
      <c r="E104" s="216">
        <f>'210-Single Family (ITE)'!E19</f>
        <v>7.3099999999999998E-2</v>
      </c>
      <c r="F104" s="216" t="s">
        <v>165</v>
      </c>
      <c r="G104" s="133">
        <f>'430 - Golf Course (ITE)'!E19</f>
        <v>5.0999999999999997E-2</v>
      </c>
      <c r="H104" s="216" t="s">
        <v>165</v>
      </c>
      <c r="I104" s="216" t="s">
        <v>165</v>
      </c>
      <c r="J104" s="216" t="s">
        <v>165</v>
      </c>
      <c r="K104" s="133">
        <f>'565 - Day Care (ITE)'!E19</f>
        <v>0.04</v>
      </c>
      <c r="L104" s="216" t="s">
        <v>165</v>
      </c>
      <c r="M104" s="216" t="s">
        <v>165</v>
      </c>
      <c r="N104" s="133">
        <f>'813 - Discount Superstore (ITE)'!E19</f>
        <v>5.5800000000000002E-2</v>
      </c>
      <c r="O104" s="133">
        <f>'815 - Discount Store (ITE)'!E19</f>
        <v>2.5400000000000002E-2</v>
      </c>
      <c r="P104" s="133">
        <f>'820 - Shopping Center (ITE)'!E19</f>
        <v>6.9400000000000003E-2</v>
      </c>
      <c r="Q104" s="216" t="s">
        <v>165</v>
      </c>
      <c r="R104" s="216">
        <f>'850-Supermarket (ITE)'!E19</f>
        <v>5.8400000000000001E-2</v>
      </c>
      <c r="S104" s="133">
        <f>'857 - Discount Club (ITE)'!E19</f>
        <v>0.05</v>
      </c>
      <c r="T104" s="216">
        <f>'862-Home Improvement (ITE)'!E19</f>
        <v>6.3E-2</v>
      </c>
      <c r="U104" s="216">
        <f>'875-Department Store (ITE)'!E19</f>
        <v>5.8999999999999997E-2</v>
      </c>
      <c r="V104" s="133">
        <f>'932 - HTSD Restaurant (ITE)'!E19</f>
        <v>0.1227</v>
      </c>
      <c r="W104" s="216">
        <f>'934 - Fast-Food w Drive (ITE)'!E19</f>
        <v>8.0500000000000002E-2</v>
      </c>
      <c r="X104" s="216" t="s">
        <v>165</v>
      </c>
      <c r="Y104" s="216" t="s">
        <v>165</v>
      </c>
      <c r="Z104" s="216" t="s">
        <v>165</v>
      </c>
    </row>
    <row r="105" spans="1:26" x14ac:dyDescent="0.2">
      <c r="A105" s="205" t="s">
        <v>142</v>
      </c>
      <c r="B105" s="214" t="s">
        <v>165</v>
      </c>
      <c r="C105" s="214" t="s">
        <v>165</v>
      </c>
      <c r="D105" s="216" t="s">
        <v>165</v>
      </c>
      <c r="E105" s="216">
        <f>'210-Single Family (ITE)'!E20</f>
        <v>4.8100000000000004E-2</v>
      </c>
      <c r="F105" s="216" t="s">
        <v>165</v>
      </c>
      <c r="G105" s="133">
        <f>'430 - Golf Course (ITE)'!E20</f>
        <v>1.7999999999999999E-2</v>
      </c>
      <c r="H105" s="216" t="s">
        <v>165</v>
      </c>
      <c r="I105" s="216" t="s">
        <v>165</v>
      </c>
      <c r="J105" s="216" t="s">
        <v>165</v>
      </c>
      <c r="K105" s="133">
        <f>'565 - Day Care (ITE)'!E20</f>
        <v>0</v>
      </c>
      <c r="L105" s="216" t="s">
        <v>165</v>
      </c>
      <c r="M105" s="216" t="s">
        <v>165</v>
      </c>
      <c r="N105" s="133">
        <f>'813 - Discount Superstore (ITE)'!E20</f>
        <v>4.2700000000000002E-2</v>
      </c>
      <c r="O105" s="133">
        <f>'815 - Discount Store (ITE)'!E20</f>
        <v>8.6E-3</v>
      </c>
      <c r="P105" s="133">
        <f>'820 - Shopping Center (ITE)'!E20</f>
        <v>5.6300000000000003E-2</v>
      </c>
      <c r="Q105" s="216" t="s">
        <v>165</v>
      </c>
      <c r="R105" s="216">
        <f>'850-Supermarket (ITE)'!E20</f>
        <v>3.4300000000000004E-2</v>
      </c>
      <c r="S105" s="133">
        <f>'857 - Discount Club (ITE)'!E20</f>
        <v>3.4000000000000002E-2</v>
      </c>
      <c r="T105" s="216">
        <f>'862-Home Improvement (ITE)'!E20</f>
        <v>4.4700000000000004E-2</v>
      </c>
      <c r="U105" s="216">
        <f>'875-Department Store (ITE)'!E20</f>
        <v>4.8000000000000001E-2</v>
      </c>
      <c r="V105" s="133">
        <f>'932 - HTSD Restaurant (ITE)'!E20</f>
        <v>7.8100000000000003E-2</v>
      </c>
      <c r="W105" s="216">
        <f>'934 - Fast-Food w Drive (ITE)'!E20</f>
        <v>7.6300000000000007E-2</v>
      </c>
      <c r="X105" s="216" t="s">
        <v>165</v>
      </c>
      <c r="Y105" s="216" t="s">
        <v>165</v>
      </c>
      <c r="Z105" s="216" t="s">
        <v>165</v>
      </c>
    </row>
    <row r="106" spans="1:26" x14ac:dyDescent="0.2">
      <c r="A106" s="205" t="s">
        <v>160</v>
      </c>
      <c r="B106" s="214" t="s">
        <v>165</v>
      </c>
      <c r="C106" s="214" t="s">
        <v>165</v>
      </c>
      <c r="D106" s="216" t="s">
        <v>165</v>
      </c>
      <c r="E106" s="216">
        <f>'210-Single Family (ITE)'!E21</f>
        <v>5.96E-2</v>
      </c>
      <c r="F106" s="216" t="s">
        <v>165</v>
      </c>
      <c r="G106" s="133">
        <f>'430 - Golf Course (ITE)'!E21</f>
        <v>0.01</v>
      </c>
      <c r="H106" s="216" t="s">
        <v>165</v>
      </c>
      <c r="I106" s="216" t="s">
        <v>165</v>
      </c>
      <c r="J106" s="216" t="s">
        <v>165</v>
      </c>
      <c r="K106" s="133">
        <f>'565 - Day Care (ITE)'!E21</f>
        <v>0</v>
      </c>
      <c r="L106" s="216" t="s">
        <v>165</v>
      </c>
      <c r="M106" s="216" t="s">
        <v>165</v>
      </c>
      <c r="N106" s="133">
        <f>'813 - Discount Superstore (ITE)'!E21</f>
        <v>3.2399999999999998E-2</v>
      </c>
      <c r="O106" s="133">
        <f>'815 - Discount Store (ITE)'!E21</f>
        <v>4.0000000000000002E-4</v>
      </c>
      <c r="P106" s="133">
        <f>'820 - Shopping Center (ITE)'!E21</f>
        <v>2.9500000000000002E-2</v>
      </c>
      <c r="Q106" s="216" t="s">
        <v>165</v>
      </c>
      <c r="R106" s="216">
        <f>'850-Supermarket (ITE)'!E21</f>
        <v>1.77E-2</v>
      </c>
      <c r="S106" s="133">
        <f>'857 - Discount Club (ITE)'!E21</f>
        <v>0.01</v>
      </c>
      <c r="T106" s="216">
        <f>'862-Home Improvement (ITE)'!E21</f>
        <v>3.7999999999999999E-2</v>
      </c>
      <c r="U106" s="216">
        <f>'875-Department Store (ITE)'!E21</f>
        <v>3.1E-2</v>
      </c>
      <c r="V106" s="133">
        <f>'932 - HTSD Restaurant (ITE)'!E21</f>
        <v>4.8800000000000003E-2</v>
      </c>
      <c r="W106" s="216">
        <f>'934 - Fast-Food w Drive (ITE)'!E21</f>
        <v>7.4700000000000003E-2</v>
      </c>
      <c r="X106" s="216" t="s">
        <v>165</v>
      </c>
      <c r="Y106" s="216" t="s">
        <v>165</v>
      </c>
      <c r="Z106" s="216" t="s">
        <v>165</v>
      </c>
    </row>
    <row r="107" spans="1:26" x14ac:dyDescent="0.2">
      <c r="A107" s="205" t="s">
        <v>161</v>
      </c>
      <c r="B107" s="214" t="s">
        <v>165</v>
      </c>
      <c r="C107" s="214" t="s">
        <v>165</v>
      </c>
      <c r="D107" s="216" t="s">
        <v>165</v>
      </c>
      <c r="E107" s="216">
        <f>'210-Single Family (ITE)'!E22</f>
        <v>2.69E-2</v>
      </c>
      <c r="F107" s="216" t="s">
        <v>165</v>
      </c>
      <c r="G107" s="133">
        <f>'430 - Golf Course (ITE)'!E22</f>
        <v>2E-3</v>
      </c>
      <c r="H107" s="216" t="s">
        <v>165</v>
      </c>
      <c r="I107" s="216" t="s">
        <v>165</v>
      </c>
      <c r="J107" s="216" t="s">
        <v>165</v>
      </c>
      <c r="K107" s="133">
        <f>'565 - Day Care (ITE)'!E22</f>
        <v>0.04</v>
      </c>
      <c r="L107" s="216" t="s">
        <v>165</v>
      </c>
      <c r="M107" s="216" t="s">
        <v>165</v>
      </c>
      <c r="N107" s="133">
        <f>'813 - Discount Superstore (ITE)'!E22</f>
        <v>3.0600000000000002E-2</v>
      </c>
      <c r="O107" s="133">
        <f>'815 - Discount Store (ITE)'!E22</f>
        <v>0</v>
      </c>
      <c r="P107" s="133">
        <f>'820 - Shopping Center (ITE)'!E22</f>
        <v>1.32E-2</v>
      </c>
      <c r="Q107" s="216" t="s">
        <v>165</v>
      </c>
      <c r="R107" s="216">
        <f>'850-Supermarket (ITE)'!E22</f>
        <v>4.3E-3</v>
      </c>
      <c r="S107" s="133">
        <f>'857 - Discount Club (ITE)'!E22</f>
        <v>3.0000000000000001E-3</v>
      </c>
      <c r="T107" s="216">
        <f>'862-Home Improvement (ITE)'!E22</f>
        <v>1.7899999999999999E-2</v>
      </c>
      <c r="U107" s="216">
        <f>'875-Department Store (ITE)'!E22</f>
        <v>1.2999999999999999E-2</v>
      </c>
      <c r="V107" s="133">
        <f>'932 - HTSD Restaurant (ITE)'!E22</f>
        <v>5.4400000000000004E-2</v>
      </c>
      <c r="W107" s="216">
        <f>'934 - Fast-Food w Drive (ITE)'!E22</f>
        <v>6.3700000000000007E-2</v>
      </c>
      <c r="X107" s="216" t="s">
        <v>165</v>
      </c>
      <c r="Y107" s="216" t="s">
        <v>165</v>
      </c>
      <c r="Z107" s="216" t="s">
        <v>165</v>
      </c>
    </row>
    <row r="108" spans="1:26" x14ac:dyDescent="0.2">
      <c r="A108" s="204" t="s">
        <v>186</v>
      </c>
      <c r="B108" s="214" t="s">
        <v>165</v>
      </c>
      <c r="C108" s="214" t="s">
        <v>165</v>
      </c>
      <c r="D108" s="216" t="s">
        <v>165</v>
      </c>
      <c r="E108" s="216">
        <f>'210-Single Family (ITE)'!E23</f>
        <v>6.3500000000000001E-2</v>
      </c>
      <c r="F108" s="216" t="s">
        <v>165</v>
      </c>
      <c r="G108" s="133">
        <f>'430 - Golf Course (ITE)'!E23</f>
        <v>4.5999999999999999E-2</v>
      </c>
      <c r="H108" s="216" t="s">
        <v>165</v>
      </c>
      <c r="I108" s="216" t="s">
        <v>165</v>
      </c>
      <c r="J108" s="216" t="s">
        <v>165</v>
      </c>
      <c r="K108" s="133">
        <f>'565 - Day Care (ITE)'!E23</f>
        <v>0.12</v>
      </c>
      <c r="L108" s="216" t="s">
        <v>165</v>
      </c>
      <c r="M108" s="216" t="s">
        <v>165</v>
      </c>
      <c r="N108" s="133">
        <f>'813 - Discount Superstore (ITE)'!E23</f>
        <v>2.7300000000000001E-2</v>
      </c>
      <c r="O108" s="133">
        <f>'815 - Discount Store (ITE)'!E23</f>
        <v>0</v>
      </c>
      <c r="P108" s="133">
        <f>'820 - Shopping Center (ITE)'!E23</f>
        <v>1.5100000000000001E-2</v>
      </c>
      <c r="Q108" s="216" t="s">
        <v>165</v>
      </c>
      <c r="R108" s="216">
        <f>'850-Supermarket (ITE)'!E23</f>
        <v>9.6000000000000009E-3</v>
      </c>
      <c r="S108" s="133">
        <f>'857 - Discount Club (ITE)'!E23</f>
        <v>7.0000000000000001E-3</v>
      </c>
      <c r="T108" s="267" t="s">
        <v>165</v>
      </c>
      <c r="U108" s="216">
        <f>'875-Department Store (ITE)'!E23</f>
        <v>1.4999999999999999E-2</v>
      </c>
      <c r="V108" s="133">
        <f>'932 - HTSD Restaurant (ITE)'!E23</f>
        <v>4.3200000000000002E-2</v>
      </c>
      <c r="W108" s="216">
        <f>'934 - Fast-Food w Drive (ITE)'!E23</f>
        <v>4.5700000000000005E-2</v>
      </c>
      <c r="X108" s="216" t="s">
        <v>165</v>
      </c>
      <c r="Y108" s="216" t="s">
        <v>165</v>
      </c>
      <c r="Z108" s="216" t="s">
        <v>165</v>
      </c>
    </row>
    <row r="109" spans="1:26" x14ac:dyDescent="0.2">
      <c r="B109" s="221"/>
    </row>
    <row r="110" spans="1:26" x14ac:dyDescent="0.2">
      <c r="B110" s="219" t="s">
        <v>39</v>
      </c>
      <c r="C110" s="219" t="s">
        <v>39</v>
      </c>
      <c r="D110" s="219" t="s">
        <v>39</v>
      </c>
      <c r="E110" s="219" t="s">
        <v>39</v>
      </c>
      <c r="F110" s="219" t="s">
        <v>39</v>
      </c>
      <c r="G110" s="219" t="s">
        <v>39</v>
      </c>
      <c r="H110" s="219" t="s">
        <v>39</v>
      </c>
      <c r="I110" s="219" t="s">
        <v>39</v>
      </c>
      <c r="J110" s="219" t="s">
        <v>39</v>
      </c>
      <c r="K110" s="219" t="s">
        <v>39</v>
      </c>
      <c r="L110" s="219" t="s">
        <v>39</v>
      </c>
      <c r="M110" s="219" t="s">
        <v>39</v>
      </c>
      <c r="N110" s="219" t="s">
        <v>39</v>
      </c>
      <c r="O110" s="219" t="s">
        <v>39</v>
      </c>
      <c r="P110" s="219" t="s">
        <v>39</v>
      </c>
      <c r="Q110" s="219" t="s">
        <v>39</v>
      </c>
      <c r="R110" s="219" t="s">
        <v>39</v>
      </c>
      <c r="S110" s="219" t="s">
        <v>39</v>
      </c>
      <c r="T110" s="219" t="s">
        <v>39</v>
      </c>
      <c r="U110" s="219" t="s">
        <v>39</v>
      </c>
      <c r="V110" s="219" t="s">
        <v>39</v>
      </c>
      <c r="W110" s="219" t="s">
        <v>39</v>
      </c>
      <c r="X110" s="219" t="s">
        <v>39</v>
      </c>
      <c r="Y110" s="219" t="s">
        <v>39</v>
      </c>
      <c r="Z110" s="219" t="s">
        <v>39</v>
      </c>
    </row>
    <row r="111" spans="1:26" x14ac:dyDescent="0.2">
      <c r="A111" s="129" t="s">
        <v>26</v>
      </c>
      <c r="B111" s="217" t="s">
        <v>165</v>
      </c>
      <c r="C111" s="217" t="s">
        <v>165</v>
      </c>
      <c r="D111" s="216" t="s">
        <v>165</v>
      </c>
      <c r="E111" s="216">
        <f>'210-Single Family (ITE)'!F7</f>
        <v>1.54E-2</v>
      </c>
      <c r="F111" s="216" t="s">
        <v>165</v>
      </c>
      <c r="G111" s="133">
        <f>'430 - Golf Course (ITE)'!F7</f>
        <v>8.0000000000000002E-3</v>
      </c>
      <c r="H111" s="216" t="s">
        <v>165</v>
      </c>
      <c r="I111" s="216" t="s">
        <v>165</v>
      </c>
      <c r="J111" s="216" t="s">
        <v>165</v>
      </c>
      <c r="K111" s="133">
        <f>'565 - Day Care (ITE)'!F7</f>
        <v>0</v>
      </c>
      <c r="L111" s="216" t="s">
        <v>165</v>
      </c>
      <c r="M111" s="216" t="s">
        <v>165</v>
      </c>
      <c r="N111" s="133">
        <f>'813 - Discount Superstore (ITE)'!F7</f>
        <v>4.7000000000000002E-3</v>
      </c>
      <c r="O111" s="133">
        <f>'815 - Discount Store (ITE)'!F7</f>
        <v>0</v>
      </c>
      <c r="P111" s="133">
        <f>'820 - Shopping Center (ITE)'!F7</f>
        <v>9.0000000000000008E-4</v>
      </c>
      <c r="Q111" s="216" t="s">
        <v>165</v>
      </c>
      <c r="R111" s="216">
        <f>'850-Supermarket (ITE)'!F7</f>
        <v>0</v>
      </c>
      <c r="S111" s="133">
        <f>'857 - Discount Club (ITE)'!F7</f>
        <v>1E-3</v>
      </c>
      <c r="T111" s="216">
        <f>'862-Home Improvement (ITE)'!F7</f>
        <v>7.1000000000000004E-3</v>
      </c>
      <c r="U111" s="216">
        <f>'875-Department Store (ITE)'!F7</f>
        <v>5.0000000000000001E-3</v>
      </c>
      <c r="V111" s="133">
        <f>'932 - HTSD Restaurant (ITE)'!F7</f>
        <v>1.4E-3</v>
      </c>
      <c r="W111" s="216">
        <f>'934 - Fast-Food w Drive (ITE)'!F7</f>
        <v>4.2000000000000006E-3</v>
      </c>
      <c r="X111" s="216" t="s">
        <v>165</v>
      </c>
      <c r="Y111" s="216" t="s">
        <v>165</v>
      </c>
      <c r="Z111" s="213" t="s">
        <v>165</v>
      </c>
    </row>
    <row r="112" spans="1:26" x14ac:dyDescent="0.2">
      <c r="A112" s="129" t="s">
        <v>27</v>
      </c>
      <c r="B112" s="217" t="s">
        <v>165</v>
      </c>
      <c r="C112" s="217" t="s">
        <v>165</v>
      </c>
      <c r="D112" s="216" t="s">
        <v>165</v>
      </c>
      <c r="E112" s="216">
        <f>'210-Single Family (ITE)'!F8</f>
        <v>3.27E-2</v>
      </c>
      <c r="F112" s="216" t="s">
        <v>165</v>
      </c>
      <c r="G112" s="133">
        <f>'430 - Golf Course (ITE)'!F8</f>
        <v>1.6E-2</v>
      </c>
      <c r="H112" s="216" t="s">
        <v>165</v>
      </c>
      <c r="I112" s="216" t="s">
        <v>165</v>
      </c>
      <c r="J112" s="216" t="s">
        <v>165</v>
      </c>
      <c r="K112" s="133">
        <f>'565 - Day Care (ITE)'!F8</f>
        <v>0</v>
      </c>
      <c r="L112" s="216" t="s">
        <v>165</v>
      </c>
      <c r="M112" s="216" t="s">
        <v>165</v>
      </c>
      <c r="N112" s="133">
        <f>'813 - Discount Superstore (ITE)'!F8</f>
        <v>8.3000000000000001E-3</v>
      </c>
      <c r="O112" s="133">
        <f>'815 - Discount Store (ITE)'!F8</f>
        <v>1.1000000000000001E-3</v>
      </c>
      <c r="P112" s="133">
        <f>'820 - Shopping Center (ITE)'!F8</f>
        <v>2.4000000000000002E-3</v>
      </c>
      <c r="Q112" s="216" t="s">
        <v>165</v>
      </c>
      <c r="R112" s="216">
        <f>'850-Supermarket (ITE)'!F8</f>
        <v>1.6000000000000001E-3</v>
      </c>
      <c r="S112" s="133">
        <f>'857 - Discount Club (ITE)'!F8</f>
        <v>3.0000000000000001E-3</v>
      </c>
      <c r="T112" s="216">
        <f>'862-Home Improvement (ITE)'!F8</f>
        <v>2.0900000000000002E-2</v>
      </c>
      <c r="U112" s="216">
        <f>'875-Department Store (ITE)'!F8</f>
        <v>4.0000000000000001E-3</v>
      </c>
      <c r="V112" s="133">
        <f>'932 - HTSD Restaurant (ITE)'!F8</f>
        <v>5.7000000000000002E-3</v>
      </c>
      <c r="W112" s="216">
        <f>'934 - Fast-Food w Drive (ITE)'!F8</f>
        <v>8.0000000000000002E-3</v>
      </c>
      <c r="X112" s="216" t="s">
        <v>165</v>
      </c>
      <c r="Y112" s="216" t="s">
        <v>165</v>
      </c>
      <c r="Z112" s="213" t="s">
        <v>165</v>
      </c>
    </row>
    <row r="113" spans="1:26" x14ac:dyDescent="0.2">
      <c r="A113" s="129" t="s">
        <v>28</v>
      </c>
      <c r="B113" s="217" t="s">
        <v>165</v>
      </c>
      <c r="C113" s="217" t="s">
        <v>165</v>
      </c>
      <c r="D113" s="216" t="s">
        <v>165</v>
      </c>
      <c r="E113" s="216">
        <f>'210-Single Family (ITE)'!F9</f>
        <v>5.1900000000000002E-2</v>
      </c>
      <c r="F113" s="216" t="s">
        <v>165</v>
      </c>
      <c r="G113" s="133">
        <f>'430 - Golf Course (ITE)'!F9</f>
        <v>2.5999999999999999E-2</v>
      </c>
      <c r="H113" s="216" t="s">
        <v>165</v>
      </c>
      <c r="I113" s="216" t="s">
        <v>165</v>
      </c>
      <c r="J113" s="216" t="s">
        <v>165</v>
      </c>
      <c r="K113" s="133">
        <f>'565 - Day Care (ITE)'!F9</f>
        <v>6.5000000000000002E-2</v>
      </c>
      <c r="L113" s="216" t="s">
        <v>165</v>
      </c>
      <c r="M113" s="216" t="s">
        <v>165</v>
      </c>
      <c r="N113" s="133">
        <f>'813 - Discount Superstore (ITE)'!F9</f>
        <v>2.1000000000000001E-2</v>
      </c>
      <c r="O113" s="133">
        <f>'815 - Discount Store (ITE)'!F9</f>
        <v>3.4000000000000002E-3</v>
      </c>
      <c r="P113" s="133">
        <f>'820 - Shopping Center (ITE)'!F9</f>
        <v>5.8000000000000005E-3</v>
      </c>
      <c r="Q113" s="216" t="s">
        <v>165</v>
      </c>
      <c r="R113" s="216">
        <f>'850-Supermarket (ITE)'!F9</f>
        <v>1.8200000000000001E-2</v>
      </c>
      <c r="S113" s="133">
        <f>'857 - Discount Club (ITE)'!F9</f>
        <v>5.0000000000000001E-3</v>
      </c>
      <c r="T113" s="216">
        <f>'862-Home Improvement (ITE)'!F9</f>
        <v>4.1399999999999999E-2</v>
      </c>
      <c r="U113" s="216">
        <f>'875-Department Store (ITE)'!F9</f>
        <v>1.4999999999999999E-2</v>
      </c>
      <c r="V113" s="133">
        <f>'932 - HTSD Restaurant (ITE)'!F9</f>
        <v>1.9900000000000001E-2</v>
      </c>
      <c r="W113" s="216">
        <f>'934 - Fast-Food w Drive (ITE)'!F9</f>
        <v>1.4200000000000001E-2</v>
      </c>
      <c r="X113" s="216" t="s">
        <v>165</v>
      </c>
      <c r="Y113" s="216" t="s">
        <v>165</v>
      </c>
      <c r="Z113" s="213" t="s">
        <v>165</v>
      </c>
    </row>
    <row r="114" spans="1:26" x14ac:dyDescent="0.2">
      <c r="A114" s="129" t="s">
        <v>29</v>
      </c>
      <c r="B114" s="217" t="s">
        <v>165</v>
      </c>
      <c r="C114" s="217" t="s">
        <v>165</v>
      </c>
      <c r="D114" s="216" t="s">
        <v>165</v>
      </c>
      <c r="E114" s="216">
        <f>'210-Single Family (ITE)'!F10</f>
        <v>5.96E-2</v>
      </c>
      <c r="F114" s="216" t="s">
        <v>165</v>
      </c>
      <c r="G114" s="133">
        <f>'430 - Golf Course (ITE)'!F10</f>
        <v>5.6000000000000001E-2</v>
      </c>
      <c r="H114" s="216" t="s">
        <v>165</v>
      </c>
      <c r="I114" s="216" t="s">
        <v>165</v>
      </c>
      <c r="J114" s="216" t="s">
        <v>165</v>
      </c>
      <c r="K114" s="133">
        <f>'565 - Day Care (ITE)'!F10</f>
        <v>2.1999999999999999E-2</v>
      </c>
      <c r="L114" s="216" t="s">
        <v>165</v>
      </c>
      <c r="M114" s="216" t="s">
        <v>165</v>
      </c>
      <c r="N114" s="133">
        <f>'813 - Discount Superstore (ITE)'!F10</f>
        <v>4.0100000000000004E-2</v>
      </c>
      <c r="O114" s="133">
        <f>'815 - Discount Store (ITE)'!F10</f>
        <v>3.4500000000000003E-2</v>
      </c>
      <c r="P114" s="133">
        <f>'820 - Shopping Center (ITE)'!F10</f>
        <v>1.2100000000000001E-2</v>
      </c>
      <c r="Q114" s="216" t="s">
        <v>165</v>
      </c>
      <c r="R114" s="216">
        <f>'850-Supermarket (ITE)'!F10</f>
        <v>5.8400000000000001E-2</v>
      </c>
      <c r="S114" s="133">
        <f>'857 - Discount Club (ITE)'!F10</f>
        <v>1.6E-2</v>
      </c>
      <c r="T114" s="216">
        <f>'862-Home Improvement (ITE)'!F10</f>
        <v>6.0000000000000005E-2</v>
      </c>
      <c r="U114" s="216">
        <f>'875-Department Store (ITE)'!F10</f>
        <v>4.2000000000000003E-2</v>
      </c>
      <c r="V114" s="133">
        <f>'932 - HTSD Restaurant (ITE)'!F10</f>
        <v>3.8300000000000001E-2</v>
      </c>
      <c r="W114" s="216">
        <f>'934 - Fast-Food w Drive (ITE)'!F10</f>
        <v>1.9599999999999999E-2</v>
      </c>
      <c r="X114" s="216" t="s">
        <v>165</v>
      </c>
      <c r="Y114" s="216" t="s">
        <v>165</v>
      </c>
      <c r="Z114" s="213" t="s">
        <v>165</v>
      </c>
    </row>
    <row r="115" spans="1:26" x14ac:dyDescent="0.2">
      <c r="A115" s="129" t="s">
        <v>30</v>
      </c>
      <c r="B115" s="217" t="s">
        <v>165</v>
      </c>
      <c r="C115" s="217" t="s">
        <v>165</v>
      </c>
      <c r="D115" s="216" t="s">
        <v>165</v>
      </c>
      <c r="E115" s="216">
        <f>'210-Single Family (ITE)'!F11</f>
        <v>0.1019</v>
      </c>
      <c r="F115" s="216" t="s">
        <v>165</v>
      </c>
      <c r="G115" s="133">
        <f>'430 - Golf Course (ITE)'!F11</f>
        <v>6.3E-2</v>
      </c>
      <c r="H115" s="216" t="s">
        <v>165</v>
      </c>
      <c r="I115" s="216" t="s">
        <v>165</v>
      </c>
      <c r="J115" s="216" t="s">
        <v>165</v>
      </c>
      <c r="K115" s="133">
        <f>'565 - Day Care (ITE)'!F11</f>
        <v>4.2999999999999997E-2</v>
      </c>
      <c r="L115" s="216" t="s">
        <v>165</v>
      </c>
      <c r="M115" s="216" t="s">
        <v>165</v>
      </c>
      <c r="N115" s="133">
        <f>'813 - Discount Superstore (ITE)'!F11</f>
        <v>5.5800000000000002E-2</v>
      </c>
      <c r="O115" s="133">
        <f>'815 - Discount Store (ITE)'!F11</f>
        <v>7.0500000000000007E-2</v>
      </c>
      <c r="P115" s="133">
        <f>'820 - Shopping Center (ITE)'!F11</f>
        <v>2.81E-2</v>
      </c>
      <c r="Q115" s="216" t="s">
        <v>165</v>
      </c>
      <c r="R115" s="216">
        <f>'850-Supermarket (ITE)'!F11</f>
        <v>6.6900000000000001E-2</v>
      </c>
      <c r="S115" s="133">
        <f>'857 - Discount Club (ITE)'!F11</f>
        <v>4.2000000000000003E-2</v>
      </c>
      <c r="T115" s="216">
        <f>'862-Home Improvement (ITE)'!F11</f>
        <v>7.3300000000000004E-2</v>
      </c>
      <c r="U115" s="216">
        <f>'875-Department Store (ITE)'!F11</f>
        <v>5.5E-2</v>
      </c>
      <c r="V115" s="133">
        <f>'932 - HTSD Restaurant (ITE)'!F11</f>
        <v>5.8200000000000002E-2</v>
      </c>
      <c r="W115" s="216">
        <f>'934 - Fast-Food w Drive (ITE)'!F11</f>
        <v>2.6800000000000001E-2</v>
      </c>
      <c r="X115" s="216" t="s">
        <v>165</v>
      </c>
      <c r="Y115" s="216" t="s">
        <v>165</v>
      </c>
      <c r="Z115" s="213" t="s">
        <v>165</v>
      </c>
    </row>
    <row r="116" spans="1:26" x14ac:dyDescent="0.2">
      <c r="A116" s="129" t="s">
        <v>37</v>
      </c>
      <c r="B116" s="217" t="s">
        <v>165</v>
      </c>
      <c r="C116" s="217" t="s">
        <v>165</v>
      </c>
      <c r="D116" s="216" t="s">
        <v>165</v>
      </c>
      <c r="E116" s="216">
        <f>'210-Single Family (ITE)'!F12</f>
        <v>5.7700000000000001E-2</v>
      </c>
      <c r="F116" s="216" t="s">
        <v>165</v>
      </c>
      <c r="G116" s="133">
        <f>'430 - Golf Course (ITE)'!F12</f>
        <v>6.0999999999999999E-2</v>
      </c>
      <c r="H116" s="216" t="s">
        <v>165</v>
      </c>
      <c r="I116" s="216" t="s">
        <v>165</v>
      </c>
      <c r="J116" s="216" t="s">
        <v>165</v>
      </c>
      <c r="K116" s="133">
        <f>'565 - Day Care (ITE)'!F12</f>
        <v>0.13</v>
      </c>
      <c r="L116" s="216" t="s">
        <v>165</v>
      </c>
      <c r="M116" s="216" t="s">
        <v>165</v>
      </c>
      <c r="N116" s="133">
        <f>'813 - Discount Superstore (ITE)'!F12</f>
        <v>7.690000000000001E-2</v>
      </c>
      <c r="O116" s="133">
        <f>'815 - Discount Store (ITE)'!F12</f>
        <v>9.5600000000000004E-2</v>
      </c>
      <c r="P116" s="133">
        <f>'820 - Shopping Center (ITE)'!F12</f>
        <v>5.6600000000000004E-2</v>
      </c>
      <c r="Q116" s="216" t="s">
        <v>165</v>
      </c>
      <c r="R116" s="216">
        <f>'850-Supermarket (ITE)'!F12</f>
        <v>0.1022</v>
      </c>
      <c r="S116" s="133">
        <f>'857 - Discount Club (ITE)'!F12</f>
        <v>7.9000000000000001E-2</v>
      </c>
      <c r="T116" s="216">
        <f>'862-Home Improvement (ITE)'!F12</f>
        <v>8.5000000000000006E-2</v>
      </c>
      <c r="U116" s="216">
        <f>'875-Department Store (ITE)'!F12</f>
        <v>8.5000000000000006E-2</v>
      </c>
      <c r="V116" s="133">
        <f>'932 - HTSD Restaurant (ITE)'!F12</f>
        <v>8.5100000000000009E-2</v>
      </c>
      <c r="W116" s="216">
        <f>'934 - Fast-Food w Drive (ITE)'!F12</f>
        <v>6.0200000000000004E-2</v>
      </c>
      <c r="X116" s="216" t="s">
        <v>165</v>
      </c>
      <c r="Y116" s="216" t="s">
        <v>165</v>
      </c>
      <c r="Z116" s="213" t="s">
        <v>165</v>
      </c>
    </row>
    <row r="117" spans="1:26" x14ac:dyDescent="0.2">
      <c r="A117" s="129" t="s">
        <v>31</v>
      </c>
      <c r="B117" s="217" t="s">
        <v>165</v>
      </c>
      <c r="C117" s="217" t="s">
        <v>165</v>
      </c>
      <c r="D117" s="216" t="s">
        <v>165</v>
      </c>
      <c r="E117" s="216">
        <f>'210-Single Family (ITE)'!F13</f>
        <v>8.0800000000000011E-2</v>
      </c>
      <c r="F117" s="216" t="s">
        <v>165</v>
      </c>
      <c r="G117" s="133">
        <f>'430 - Golf Course (ITE)'!F13</f>
        <v>7.5999999999999998E-2</v>
      </c>
      <c r="H117" s="216" t="s">
        <v>165</v>
      </c>
      <c r="I117" s="216" t="s">
        <v>165</v>
      </c>
      <c r="J117" s="216" t="s">
        <v>165</v>
      </c>
      <c r="K117" s="133">
        <f>'565 - Day Care (ITE)'!F13</f>
        <v>2.1999999999999999E-2</v>
      </c>
      <c r="L117" s="216" t="s">
        <v>165</v>
      </c>
      <c r="M117" s="216" t="s">
        <v>165</v>
      </c>
      <c r="N117" s="133">
        <f>'813 - Discount Superstore (ITE)'!F13</f>
        <v>9.1600000000000001E-2</v>
      </c>
      <c r="O117" s="133">
        <f>'815 - Discount Store (ITE)'!F13</f>
        <v>0.13350000000000001</v>
      </c>
      <c r="P117" s="133">
        <f>'820 - Shopping Center (ITE)'!F13</f>
        <v>7.3700000000000002E-2</v>
      </c>
      <c r="Q117" s="216" t="s">
        <v>165</v>
      </c>
      <c r="R117" s="216">
        <f>'850-Supermarket (ITE)'!F13</f>
        <v>0.10390000000000001</v>
      </c>
      <c r="S117" s="133">
        <f>'857 - Discount Club (ITE)'!F13</f>
        <v>0.108</v>
      </c>
      <c r="T117" s="216">
        <f>'862-Home Improvement (ITE)'!F13</f>
        <v>9.0500000000000011E-2</v>
      </c>
      <c r="U117" s="216">
        <f>'875-Department Store (ITE)'!F13</f>
        <v>9.0999999999999998E-2</v>
      </c>
      <c r="V117" s="133">
        <f>'932 - HTSD Restaurant (ITE)'!F13</f>
        <v>5.8200000000000002E-2</v>
      </c>
      <c r="W117" s="216">
        <f>'934 - Fast-Food w Drive (ITE)'!F13</f>
        <v>9.7900000000000001E-2</v>
      </c>
      <c r="X117" s="216" t="s">
        <v>165</v>
      </c>
      <c r="Y117" s="216" t="s">
        <v>165</v>
      </c>
      <c r="Z117" s="213" t="s">
        <v>165</v>
      </c>
    </row>
    <row r="118" spans="1:26" x14ac:dyDescent="0.2">
      <c r="A118" s="129" t="s">
        <v>32</v>
      </c>
      <c r="B118" s="217" t="s">
        <v>165</v>
      </c>
      <c r="C118" s="217" t="s">
        <v>165</v>
      </c>
      <c r="D118" s="216" t="s">
        <v>165</v>
      </c>
      <c r="E118" s="216">
        <f>'210-Single Family (ITE)'!F14</f>
        <v>9.0400000000000008E-2</v>
      </c>
      <c r="F118" s="216" t="s">
        <v>165</v>
      </c>
      <c r="G118" s="133">
        <f>'430 - Golf Course (ITE)'!F14</f>
        <v>7.9000000000000001E-2</v>
      </c>
      <c r="H118" s="216" t="s">
        <v>165</v>
      </c>
      <c r="I118" s="216" t="s">
        <v>165</v>
      </c>
      <c r="J118" s="216" t="s">
        <v>165</v>
      </c>
      <c r="K118" s="133">
        <f>'565 - Day Care (ITE)'!F14</f>
        <v>8.6999999999999994E-2</v>
      </c>
      <c r="L118" s="216" t="s">
        <v>165</v>
      </c>
      <c r="M118" s="216" t="s">
        <v>165</v>
      </c>
      <c r="N118" s="133">
        <f>'813 - Discount Superstore (ITE)'!F14</f>
        <v>9.6700000000000008E-2</v>
      </c>
      <c r="O118" s="133">
        <f>'815 - Discount Store (ITE)'!F14</f>
        <v>0.14070000000000002</v>
      </c>
      <c r="P118" s="133">
        <f>'820 - Shopping Center (ITE)'!F14</f>
        <v>9.290000000000001E-2</v>
      </c>
      <c r="Q118" s="216" t="s">
        <v>165</v>
      </c>
      <c r="R118" s="216">
        <f>'850-Supermarket (ITE)'!F14</f>
        <v>0.1135</v>
      </c>
      <c r="S118" s="133">
        <f>'857 - Discount Club (ITE)'!F14</f>
        <v>0.11799999999999999</v>
      </c>
      <c r="T118" s="216">
        <f>'862-Home Improvement (ITE)'!F14</f>
        <v>8.3400000000000002E-2</v>
      </c>
      <c r="U118" s="216">
        <f>'875-Department Store (ITE)'!F14</f>
        <v>9.5000000000000001E-2</v>
      </c>
      <c r="V118" s="133">
        <f>'932 - HTSD Restaurant (ITE)'!F14</f>
        <v>7.3800000000000004E-2</v>
      </c>
      <c r="W118" s="216">
        <f>'934 - Fast-Food w Drive (ITE)'!F14</f>
        <v>9.01E-2</v>
      </c>
      <c r="X118" s="216" t="s">
        <v>165</v>
      </c>
      <c r="Y118" s="216" t="s">
        <v>165</v>
      </c>
      <c r="Z118" s="213" t="s">
        <v>165</v>
      </c>
    </row>
    <row r="119" spans="1:26" x14ac:dyDescent="0.2">
      <c r="A119" s="129" t="s">
        <v>33</v>
      </c>
      <c r="B119" s="217" t="s">
        <v>165</v>
      </c>
      <c r="C119" s="217" t="s">
        <v>165</v>
      </c>
      <c r="D119" s="216" t="s">
        <v>165</v>
      </c>
      <c r="E119" s="216">
        <f>'210-Single Family (ITE)'!F15</f>
        <v>7.3099999999999998E-2</v>
      </c>
      <c r="F119" s="216" t="s">
        <v>165</v>
      </c>
      <c r="G119" s="133">
        <f>'430 - Golf Course (ITE)'!F15</f>
        <v>8.6999999999999994E-2</v>
      </c>
      <c r="H119" s="216" t="s">
        <v>165</v>
      </c>
      <c r="I119" s="216" t="s">
        <v>165</v>
      </c>
      <c r="J119" s="216" t="s">
        <v>165</v>
      </c>
      <c r="K119" s="133">
        <f>'565 - Day Care (ITE)'!F15</f>
        <v>0.17399999999999999</v>
      </c>
      <c r="L119" s="216" t="s">
        <v>165</v>
      </c>
      <c r="M119" s="216" t="s">
        <v>165</v>
      </c>
      <c r="N119" s="133">
        <f>'813 - Discount Superstore (ITE)'!F15</f>
        <v>0.1009</v>
      </c>
      <c r="O119" s="133">
        <f>'815 - Discount Store (ITE)'!F15</f>
        <v>0.12490000000000001</v>
      </c>
      <c r="P119" s="133">
        <f>'820 - Shopping Center (ITE)'!F15</f>
        <v>9.5700000000000007E-2</v>
      </c>
      <c r="Q119" s="216" t="s">
        <v>165</v>
      </c>
      <c r="R119" s="216">
        <f>'850-Supermarket (ITE)'!F15</f>
        <v>0.10650000000000001</v>
      </c>
      <c r="S119" s="133">
        <f>'857 - Discount Club (ITE)'!F15</f>
        <v>0.125</v>
      </c>
      <c r="T119" s="216">
        <f>'862-Home Improvement (ITE)'!F15</f>
        <v>8.6800000000000002E-2</v>
      </c>
      <c r="U119" s="216">
        <f>'875-Department Store (ITE)'!F15</f>
        <v>0.10100000000000001</v>
      </c>
      <c r="V119" s="133">
        <f>'932 - HTSD Restaurant (ITE)'!F15</f>
        <v>6.9500000000000006E-2</v>
      </c>
      <c r="W119" s="216">
        <f>'934 - Fast-Food w Drive (ITE)'!F15</f>
        <v>7.9700000000000007E-2</v>
      </c>
      <c r="X119" s="216" t="s">
        <v>165</v>
      </c>
      <c r="Y119" s="216" t="s">
        <v>165</v>
      </c>
      <c r="Z119" s="213" t="s">
        <v>165</v>
      </c>
    </row>
    <row r="120" spans="1:26" x14ac:dyDescent="0.2">
      <c r="A120" s="129" t="s">
        <v>34</v>
      </c>
      <c r="B120" s="217" t="s">
        <v>165</v>
      </c>
      <c r="C120" s="217" t="s">
        <v>165</v>
      </c>
      <c r="D120" s="216" t="s">
        <v>165</v>
      </c>
      <c r="E120" s="216">
        <f>'210-Single Family (ITE)'!F16</f>
        <v>8.6500000000000007E-2</v>
      </c>
      <c r="F120" s="216" t="s">
        <v>165</v>
      </c>
      <c r="G120" s="133">
        <f>'430 - Golf Course (ITE)'!F16</f>
        <v>0.09</v>
      </c>
      <c r="H120" s="216" t="s">
        <v>165</v>
      </c>
      <c r="I120" s="216" t="s">
        <v>165</v>
      </c>
      <c r="J120" s="216" t="s">
        <v>165</v>
      </c>
      <c r="K120" s="133">
        <f>'565 - Day Care (ITE)'!F16</f>
        <v>2.1999999999999999E-2</v>
      </c>
      <c r="L120" s="216" t="s">
        <v>165</v>
      </c>
      <c r="M120" s="216" t="s">
        <v>165</v>
      </c>
      <c r="N120" s="133">
        <f>'813 - Discount Superstore (ITE)'!F16</f>
        <v>9.6500000000000002E-2</v>
      </c>
      <c r="O120" s="133">
        <f>'815 - Discount Store (ITE)'!F16</f>
        <v>0.1193</v>
      </c>
      <c r="P120" s="133">
        <f>'820 - Shopping Center (ITE)'!F16</f>
        <v>0.1019</v>
      </c>
      <c r="Q120" s="216" t="s">
        <v>165</v>
      </c>
      <c r="R120" s="216">
        <f>'850-Supermarket (ITE)'!F16</f>
        <v>8.4000000000000005E-2</v>
      </c>
      <c r="S120" s="133">
        <f>'857 - Discount Club (ITE)'!F16</f>
        <v>0.126</v>
      </c>
      <c r="T120" s="216">
        <f>'862-Home Improvement (ITE)'!F16</f>
        <v>9.3400000000000011E-2</v>
      </c>
      <c r="U120" s="216">
        <f>'875-Department Store (ITE)'!F16</f>
        <v>0.113</v>
      </c>
      <c r="V120" s="133">
        <f>'932 - HTSD Restaurant (ITE)'!F16</f>
        <v>4.4000000000000004E-2</v>
      </c>
      <c r="W120" s="216">
        <f>'934 - Fast-Food w Drive (ITE)'!F16</f>
        <v>7.3300000000000004E-2</v>
      </c>
      <c r="X120" s="216" t="s">
        <v>165</v>
      </c>
      <c r="Y120" s="216" t="s">
        <v>165</v>
      </c>
      <c r="Z120" s="213" t="s">
        <v>165</v>
      </c>
    </row>
    <row r="121" spans="1:26" x14ac:dyDescent="0.2">
      <c r="A121" s="129" t="s">
        <v>35</v>
      </c>
      <c r="B121" s="217" t="s">
        <v>165</v>
      </c>
      <c r="C121" s="217" t="s">
        <v>165</v>
      </c>
      <c r="D121" s="216" t="s">
        <v>165</v>
      </c>
      <c r="E121" s="216">
        <f>'210-Single Family (ITE)'!F17</f>
        <v>5.3800000000000001E-2</v>
      </c>
      <c r="F121" s="216" t="s">
        <v>165</v>
      </c>
      <c r="G121" s="133">
        <f>'430 - Golf Course (ITE)'!F17</f>
        <v>8.2000000000000003E-2</v>
      </c>
      <c r="H121" s="216" t="s">
        <v>165</v>
      </c>
      <c r="I121" s="216" t="s">
        <v>165</v>
      </c>
      <c r="J121" s="216" t="s">
        <v>165</v>
      </c>
      <c r="K121" s="133">
        <f>'565 - Day Care (ITE)'!F17</f>
        <v>2.1999999999999999E-2</v>
      </c>
      <c r="L121" s="216" t="s">
        <v>165</v>
      </c>
      <c r="M121" s="216" t="s">
        <v>165</v>
      </c>
      <c r="N121" s="133">
        <f>'813 - Discount Superstore (ITE)'!F17</f>
        <v>9.9100000000000008E-2</v>
      </c>
      <c r="O121" s="133">
        <f>'815 - Discount Store (ITE)'!F17</f>
        <v>0.1032</v>
      </c>
      <c r="P121" s="133">
        <f>'820 - Shopping Center (ITE)'!F17</f>
        <v>0.1047</v>
      </c>
      <c r="Q121" s="216" t="s">
        <v>165</v>
      </c>
      <c r="R121" s="216">
        <f>'850-Supermarket (ITE)'!F17</f>
        <v>0.10060000000000001</v>
      </c>
      <c r="S121" s="133">
        <f>'857 - Discount Club (ITE)'!F17</f>
        <v>0.113</v>
      </c>
      <c r="T121" s="216">
        <f>'862-Home Improvement (ITE)'!F17</f>
        <v>8.9400000000000007E-2</v>
      </c>
      <c r="U121" s="216">
        <f>'875-Department Store (ITE)'!F17</f>
        <v>0.10100000000000001</v>
      </c>
      <c r="V121" s="133">
        <f>'932 - HTSD Restaurant (ITE)'!F17</f>
        <v>3.4000000000000002E-2</v>
      </c>
      <c r="W121" s="216">
        <f>'934 - Fast-Food w Drive (ITE)'!F17</f>
        <v>7.2099999999999997E-2</v>
      </c>
      <c r="X121" s="216" t="s">
        <v>165</v>
      </c>
      <c r="Y121" s="216" t="s">
        <v>165</v>
      </c>
      <c r="Z121" s="213" t="s">
        <v>165</v>
      </c>
    </row>
    <row r="122" spans="1:26" x14ac:dyDescent="0.2">
      <c r="A122" s="129" t="s">
        <v>36</v>
      </c>
      <c r="B122" s="217" t="s">
        <v>165</v>
      </c>
      <c r="C122" s="217" t="s">
        <v>165</v>
      </c>
      <c r="D122" s="216" t="s">
        <v>165</v>
      </c>
      <c r="E122" s="216">
        <f>'210-Single Family (ITE)'!F18</f>
        <v>7.1199999999999999E-2</v>
      </c>
      <c r="F122" s="216" t="s">
        <v>165</v>
      </c>
      <c r="G122" s="133">
        <f>'430 - Golf Course (ITE)'!F18</f>
        <v>0.122</v>
      </c>
      <c r="H122" s="216" t="s">
        <v>165</v>
      </c>
      <c r="I122" s="216" t="s">
        <v>165</v>
      </c>
      <c r="J122" s="216" t="s">
        <v>165</v>
      </c>
      <c r="K122" s="133">
        <f>'565 - Day Care (ITE)'!F18</f>
        <v>2.1999999999999999E-2</v>
      </c>
      <c r="L122" s="216" t="s">
        <v>165</v>
      </c>
      <c r="M122" s="216" t="s">
        <v>165</v>
      </c>
      <c r="N122" s="133">
        <f>'813 - Discount Superstore (ITE)'!F18</f>
        <v>7.9700000000000007E-2</v>
      </c>
      <c r="O122" s="133">
        <f>'815 - Discount Store (ITE)'!F18</f>
        <v>0.11330000000000001</v>
      </c>
      <c r="P122" s="133">
        <f>'820 - Shopping Center (ITE)'!F18</f>
        <v>9.5700000000000007E-2</v>
      </c>
      <c r="Q122" s="216" t="s">
        <v>165</v>
      </c>
      <c r="R122" s="216">
        <f>'850-Supermarket (ITE)'!F18</f>
        <v>7.7100000000000002E-2</v>
      </c>
      <c r="S122" s="133">
        <f>'857 - Discount Club (ITE)'!F18</f>
        <v>9.8000000000000004E-2</v>
      </c>
      <c r="T122" s="216">
        <f>'862-Home Improvement (ITE)'!F18</f>
        <v>7.3800000000000004E-2</v>
      </c>
      <c r="U122" s="216">
        <f>'875-Department Store (ITE)'!F18</f>
        <v>8.2000000000000003E-2</v>
      </c>
      <c r="V122" s="133">
        <f>'932 - HTSD Restaurant (ITE)'!F18</f>
        <v>5.5300000000000002E-2</v>
      </c>
      <c r="W122" s="216">
        <f>'934 - Fast-Food w Drive (ITE)'!F18</f>
        <v>8.1299999999999997E-2</v>
      </c>
      <c r="X122" s="216" t="s">
        <v>165</v>
      </c>
      <c r="Y122" s="216" t="s">
        <v>165</v>
      </c>
      <c r="Z122" s="213" t="s">
        <v>165</v>
      </c>
    </row>
    <row r="123" spans="1:26" x14ac:dyDescent="0.2">
      <c r="A123" s="204" t="s">
        <v>141</v>
      </c>
      <c r="B123" s="217" t="s">
        <v>165</v>
      </c>
      <c r="C123" s="217" t="s">
        <v>165</v>
      </c>
      <c r="D123" s="216" t="s">
        <v>165</v>
      </c>
      <c r="E123" s="216">
        <f>'210-Single Family (ITE)'!F19</f>
        <v>4.6200000000000005E-2</v>
      </c>
      <c r="F123" s="216" t="s">
        <v>165</v>
      </c>
      <c r="G123" s="133">
        <f>'430 - Golf Course (ITE)'!F19</f>
        <v>7.5999999999999998E-2</v>
      </c>
      <c r="H123" s="216" t="s">
        <v>165</v>
      </c>
      <c r="I123" s="216" t="s">
        <v>165</v>
      </c>
      <c r="J123" s="216" t="s">
        <v>165</v>
      </c>
      <c r="K123" s="133">
        <f>'565 - Day Care (ITE)'!F19</f>
        <v>4.2999999999999997E-2</v>
      </c>
      <c r="L123" s="216" t="s">
        <v>165</v>
      </c>
      <c r="M123" s="216" t="s">
        <v>165</v>
      </c>
      <c r="N123" s="133">
        <f>'813 - Discount Superstore (ITE)'!F19</f>
        <v>6.3800000000000009E-2</v>
      </c>
      <c r="O123" s="133">
        <f>'815 - Discount Store (ITE)'!F19</f>
        <v>5.0300000000000004E-2</v>
      </c>
      <c r="P123" s="133">
        <f>'820 - Shopping Center (ITE)'!F19</f>
        <v>8.900000000000001E-2</v>
      </c>
      <c r="Q123" s="216" t="s">
        <v>165</v>
      </c>
      <c r="R123" s="216">
        <f>'850-Supermarket (ITE)'!F19</f>
        <v>6.8500000000000005E-2</v>
      </c>
      <c r="S123" s="133">
        <f>'857 - Discount Club (ITE)'!F19</f>
        <v>7.0999999999999994E-2</v>
      </c>
      <c r="T123" s="216">
        <f>'862-Home Improvement (ITE)'!F19</f>
        <v>6.720000000000001E-2</v>
      </c>
      <c r="U123" s="216">
        <f>'875-Department Store (ITE)'!F19</f>
        <v>6.3E-2</v>
      </c>
      <c r="V123" s="133">
        <f>'932 - HTSD Restaurant (ITE)'!F19</f>
        <v>7.2300000000000003E-2</v>
      </c>
      <c r="W123" s="216">
        <f>'934 - Fast-Food w Drive (ITE)'!F19</f>
        <v>8.2900000000000001E-2</v>
      </c>
      <c r="X123" s="216" t="s">
        <v>165</v>
      </c>
      <c r="Y123" s="216" t="s">
        <v>165</v>
      </c>
      <c r="Z123" s="213" t="s">
        <v>165</v>
      </c>
    </row>
    <row r="124" spans="1:26" x14ac:dyDescent="0.2">
      <c r="A124" s="205" t="s">
        <v>142</v>
      </c>
      <c r="B124" s="217" t="s">
        <v>165</v>
      </c>
      <c r="C124" s="217" t="s">
        <v>165</v>
      </c>
      <c r="D124" s="216" t="s">
        <v>165</v>
      </c>
      <c r="E124" s="216">
        <f>'210-Single Family (ITE)'!F20</f>
        <v>5.3800000000000001E-2</v>
      </c>
      <c r="F124" s="216" t="s">
        <v>165</v>
      </c>
      <c r="G124" s="133">
        <f>'430 - Golf Course (ITE)'!F20</f>
        <v>5.8999999999999997E-2</v>
      </c>
      <c r="H124" s="216" t="s">
        <v>165</v>
      </c>
      <c r="I124" s="216" t="s">
        <v>165</v>
      </c>
      <c r="J124" s="216" t="s">
        <v>165</v>
      </c>
      <c r="K124" s="133">
        <f>'565 - Day Care (ITE)'!F20</f>
        <v>2.1999999999999999E-2</v>
      </c>
      <c r="L124" s="216" t="s">
        <v>165</v>
      </c>
      <c r="M124" s="216" t="s">
        <v>165</v>
      </c>
      <c r="N124" s="133">
        <f>'813 - Discount Superstore (ITE)'!F20</f>
        <v>4.99E-2</v>
      </c>
      <c r="O124" s="133">
        <f>'815 - Discount Store (ITE)'!F20</f>
        <v>8.3000000000000001E-3</v>
      </c>
      <c r="P124" s="133">
        <f>'820 - Shopping Center (ITE)'!F20</f>
        <v>7.4400000000000008E-2</v>
      </c>
      <c r="Q124" s="216" t="s">
        <v>165</v>
      </c>
      <c r="R124" s="216">
        <f>'850-Supermarket (ITE)'!F20</f>
        <v>5.0300000000000004E-2</v>
      </c>
      <c r="S124" s="133">
        <f>'857 - Discount Club (ITE)'!F20</f>
        <v>4.8000000000000001E-2</v>
      </c>
      <c r="T124" s="216">
        <f>'862-Home Improvement (ITE)'!F20</f>
        <v>5.5900000000000005E-2</v>
      </c>
      <c r="U124" s="216">
        <f>'875-Department Store (ITE)'!F20</f>
        <v>5.0999999999999997E-2</v>
      </c>
      <c r="V124" s="133">
        <f>'932 - HTSD Restaurant (ITE)'!F20</f>
        <v>0.10780000000000001</v>
      </c>
      <c r="W124" s="216">
        <f>'934 - Fast-Food w Drive (ITE)'!F20</f>
        <v>8.3900000000000002E-2</v>
      </c>
      <c r="X124" s="216" t="s">
        <v>165</v>
      </c>
      <c r="Y124" s="216" t="s">
        <v>165</v>
      </c>
      <c r="Z124" s="213" t="s">
        <v>165</v>
      </c>
    </row>
    <row r="125" spans="1:26" x14ac:dyDescent="0.2">
      <c r="A125" s="205" t="s">
        <v>160</v>
      </c>
      <c r="B125" s="217" t="s">
        <v>165</v>
      </c>
      <c r="C125" s="217" t="s">
        <v>165</v>
      </c>
      <c r="D125" s="216" t="s">
        <v>165</v>
      </c>
      <c r="E125" s="216">
        <f>'210-Single Family (ITE)'!F21</f>
        <v>3.6500000000000005E-2</v>
      </c>
      <c r="F125" s="216" t="s">
        <v>165</v>
      </c>
      <c r="G125" s="133">
        <f>'430 - Golf Course (ITE)'!F21</f>
        <v>4.3999999999999997E-2</v>
      </c>
      <c r="H125" s="216" t="s">
        <v>165</v>
      </c>
      <c r="I125" s="216" t="s">
        <v>165</v>
      </c>
      <c r="J125" s="216" t="s">
        <v>165</v>
      </c>
      <c r="K125" s="133">
        <f>'565 - Day Care (ITE)'!F21</f>
        <v>4.2999999999999997E-2</v>
      </c>
      <c r="L125" s="216" t="s">
        <v>165</v>
      </c>
      <c r="M125" s="216" t="s">
        <v>165</v>
      </c>
      <c r="N125" s="133">
        <f>'813 - Discount Superstore (ITE)'!F21</f>
        <v>3.9699999999999999E-2</v>
      </c>
      <c r="O125" s="133">
        <f>'815 - Discount Store (ITE)'!F21</f>
        <v>1.1000000000000001E-3</v>
      </c>
      <c r="P125" s="133">
        <f>'820 - Shopping Center (ITE)'!F21</f>
        <v>6.3399999999999998E-2</v>
      </c>
      <c r="Q125" s="216" t="s">
        <v>165</v>
      </c>
      <c r="R125" s="216">
        <f>'850-Supermarket (ITE)'!F21</f>
        <v>2.9400000000000003E-2</v>
      </c>
      <c r="S125" s="133">
        <f>'857 - Discount Club (ITE)'!F21</f>
        <v>3.5000000000000003E-2</v>
      </c>
      <c r="T125" s="216">
        <f>'862-Home Improvement (ITE)'!F21</f>
        <v>4.19E-2</v>
      </c>
      <c r="U125" s="216">
        <f>'875-Department Store (ITE)'!F21</f>
        <v>4.2999999999999997E-2</v>
      </c>
      <c r="V125" s="133">
        <f>'932 - HTSD Restaurant (ITE)'!F21</f>
        <v>0.10640000000000001</v>
      </c>
      <c r="W125" s="216">
        <f>'934 - Fast-Food w Drive (ITE)'!F21</f>
        <v>7.1500000000000008E-2</v>
      </c>
      <c r="X125" s="216" t="s">
        <v>165</v>
      </c>
      <c r="Y125" s="216" t="s">
        <v>165</v>
      </c>
      <c r="Z125" s="213" t="s">
        <v>165</v>
      </c>
    </row>
    <row r="126" spans="1:26" x14ac:dyDescent="0.2">
      <c r="A126" s="205" t="s">
        <v>161</v>
      </c>
      <c r="B126" s="217" t="s">
        <v>165</v>
      </c>
      <c r="C126" s="217" t="s">
        <v>165</v>
      </c>
      <c r="D126" s="216" t="s">
        <v>165</v>
      </c>
      <c r="E126" s="216">
        <f>'210-Single Family (ITE)'!F22</f>
        <v>2.12E-2</v>
      </c>
      <c r="F126" s="216" t="s">
        <v>165</v>
      </c>
      <c r="G126" s="133">
        <f>'430 - Golf Course (ITE)'!F22</f>
        <v>1.2999999999999999E-2</v>
      </c>
      <c r="H126" s="216" t="s">
        <v>165</v>
      </c>
      <c r="I126" s="216" t="s">
        <v>165</v>
      </c>
      <c r="J126" s="216" t="s">
        <v>165</v>
      </c>
      <c r="K126" s="133">
        <f>'565 - Day Care (ITE)'!F22</f>
        <v>0</v>
      </c>
      <c r="L126" s="216" t="s">
        <v>165</v>
      </c>
      <c r="M126" s="216" t="s">
        <v>165</v>
      </c>
      <c r="N126" s="133">
        <f>'813 - Discount Superstore (ITE)'!F22</f>
        <v>3.1699999999999999E-2</v>
      </c>
      <c r="O126" s="133">
        <f>'815 - Discount Store (ITE)'!F22</f>
        <v>4.0000000000000002E-4</v>
      </c>
      <c r="P126" s="133">
        <f>'820 - Shopping Center (ITE)'!F22</f>
        <v>5.0599999999999999E-2</v>
      </c>
      <c r="Q126" s="216" t="s">
        <v>165</v>
      </c>
      <c r="R126" s="216">
        <f>'850-Supermarket (ITE)'!F22</f>
        <v>1.0200000000000001E-2</v>
      </c>
      <c r="S126" s="133">
        <f>'857 - Discount Club (ITE)'!F22</f>
        <v>8.9999999999999993E-3</v>
      </c>
      <c r="T126" s="216">
        <f>'862-Home Improvement (ITE)'!F22</f>
        <v>3.2100000000000004E-2</v>
      </c>
      <c r="U126" s="216">
        <f>'875-Department Store (ITE)'!F22</f>
        <v>2.8000000000000001E-2</v>
      </c>
      <c r="V126" s="133">
        <f>'932 - HTSD Restaurant (ITE)'!F22</f>
        <v>6.5200000000000008E-2</v>
      </c>
      <c r="W126" s="216">
        <f>'934 - Fast-Food w Drive (ITE)'!F22</f>
        <v>6.9900000000000004E-2</v>
      </c>
      <c r="X126" s="216" t="s">
        <v>165</v>
      </c>
      <c r="Y126" s="216" t="s">
        <v>165</v>
      </c>
      <c r="Z126" s="213" t="s">
        <v>165</v>
      </c>
    </row>
    <row r="127" spans="1:26" x14ac:dyDescent="0.2">
      <c r="A127" s="204" t="s">
        <v>186</v>
      </c>
      <c r="B127" s="217" t="s">
        <v>165</v>
      </c>
      <c r="C127" s="217" t="s">
        <v>165</v>
      </c>
      <c r="D127" s="216" t="s">
        <v>165</v>
      </c>
      <c r="E127" s="216">
        <f>'210-Single Family (ITE)'!F23</f>
        <v>6.7299999999999999E-2</v>
      </c>
      <c r="F127" s="216" t="s">
        <v>165</v>
      </c>
      <c r="G127" s="133">
        <f>'430 - Golf Course (ITE)'!F23</f>
        <v>4.2000000000000003E-2</v>
      </c>
      <c r="H127" s="216" t="s">
        <v>165</v>
      </c>
      <c r="I127" s="216" t="s">
        <v>165</v>
      </c>
      <c r="J127" s="216" t="s">
        <v>165</v>
      </c>
      <c r="K127" s="133">
        <f>'565 - Day Care (ITE)'!F23</f>
        <v>0.28299999999999997</v>
      </c>
      <c r="L127" s="216" t="s">
        <v>165</v>
      </c>
      <c r="M127" s="216" t="s">
        <v>165</v>
      </c>
      <c r="N127" s="133">
        <f>'813 - Discount Superstore (ITE)'!F23</f>
        <v>4.3500000000000004E-2</v>
      </c>
      <c r="O127" s="133">
        <f>'815 - Discount Store (ITE)'!F23</f>
        <v>0</v>
      </c>
      <c r="P127" s="133">
        <f>'820 - Shopping Center (ITE)'!F23</f>
        <v>5.21E-2</v>
      </c>
      <c r="Q127" s="216" t="s">
        <v>165</v>
      </c>
      <c r="R127" s="216">
        <f>'850-Supermarket (ITE)'!F23</f>
        <v>8.6E-3</v>
      </c>
      <c r="S127" s="133">
        <f>'857 - Discount Club (ITE)'!F23</f>
        <v>3.0000000000000001E-3</v>
      </c>
      <c r="T127" s="267" t="s">
        <v>165</v>
      </c>
      <c r="U127" s="216">
        <f>'875-Department Store (ITE)'!F23</f>
        <v>2.5999999999999999E-2</v>
      </c>
      <c r="V127" s="133">
        <f>'932 - HTSD Restaurant (ITE)'!F23</f>
        <v>0.10500000000000001</v>
      </c>
      <c r="W127" s="216">
        <f>'934 - Fast-Food w Drive (ITE)'!F23</f>
        <v>6.4100000000000004E-2</v>
      </c>
      <c r="X127" s="216" t="s">
        <v>165</v>
      </c>
      <c r="Y127" s="216" t="s">
        <v>165</v>
      </c>
      <c r="Z127" s="213" t="s">
        <v>165</v>
      </c>
    </row>
    <row r="128" spans="1:26" s="207" customFormat="1" x14ac:dyDescent="0.2">
      <c r="A128" s="206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2"/>
    </row>
    <row r="130" spans="1:26" x14ac:dyDescent="0.2">
      <c r="A130" s="242" t="s">
        <v>227</v>
      </c>
      <c r="B130" s="242"/>
    </row>
    <row r="131" spans="1:26" x14ac:dyDescent="0.2">
      <c r="A131" s="242"/>
      <c r="B131" s="242"/>
    </row>
    <row r="133" spans="1:26" x14ac:dyDescent="0.2">
      <c r="B133" s="219" t="s">
        <v>170</v>
      </c>
      <c r="C133" s="219" t="s">
        <v>215</v>
      </c>
      <c r="D133" s="266" t="s">
        <v>239</v>
      </c>
      <c r="E133" s="266" t="s">
        <v>241</v>
      </c>
      <c r="F133" s="266" t="s">
        <v>242</v>
      </c>
      <c r="G133" s="219" t="s">
        <v>218</v>
      </c>
      <c r="H133" s="266" t="s">
        <v>246</v>
      </c>
      <c r="I133" s="266" t="s">
        <v>219</v>
      </c>
      <c r="J133" s="266" t="s">
        <v>248</v>
      </c>
      <c r="K133" s="219" t="s">
        <v>220</v>
      </c>
      <c r="L133" s="219" t="s">
        <v>221</v>
      </c>
      <c r="M133" s="219" t="s">
        <v>222</v>
      </c>
      <c r="N133" s="266" t="s">
        <v>258</v>
      </c>
      <c r="O133" s="266" t="s">
        <v>257</v>
      </c>
      <c r="P133" s="266" t="s">
        <v>261</v>
      </c>
      <c r="Q133" s="266" t="s">
        <v>265</v>
      </c>
      <c r="R133" s="219" t="s">
        <v>223</v>
      </c>
      <c r="S133" s="219" t="s">
        <v>224</v>
      </c>
      <c r="T133" s="266" t="s">
        <v>274</v>
      </c>
      <c r="U133" s="266" t="s">
        <v>225</v>
      </c>
      <c r="V133" s="266" t="s">
        <v>279</v>
      </c>
      <c r="W133" s="266" t="s">
        <v>282</v>
      </c>
      <c r="X133" s="266" t="s">
        <v>288</v>
      </c>
      <c r="Y133" s="266" t="s">
        <v>289</v>
      </c>
      <c r="Z133" s="229" t="s">
        <v>230</v>
      </c>
    </row>
    <row r="134" spans="1:26" x14ac:dyDescent="0.2">
      <c r="B134" s="219" t="s">
        <v>38</v>
      </c>
      <c r="C134" s="219" t="s">
        <v>38</v>
      </c>
      <c r="D134" s="219" t="s">
        <v>38</v>
      </c>
      <c r="E134" s="219" t="s">
        <v>38</v>
      </c>
      <c r="F134" s="219" t="s">
        <v>38</v>
      </c>
      <c r="G134" s="219" t="s">
        <v>38</v>
      </c>
      <c r="H134" s="219" t="s">
        <v>38</v>
      </c>
      <c r="I134" s="219" t="s">
        <v>38</v>
      </c>
      <c r="J134" s="219" t="s">
        <v>38</v>
      </c>
      <c r="K134" s="219" t="s">
        <v>38</v>
      </c>
      <c r="L134" s="219" t="s">
        <v>38</v>
      </c>
      <c r="M134" s="219" t="s">
        <v>38</v>
      </c>
      <c r="N134" s="219" t="s">
        <v>38</v>
      </c>
      <c r="O134" s="219" t="s">
        <v>38</v>
      </c>
      <c r="P134" s="219" t="s">
        <v>38</v>
      </c>
      <c r="Q134" s="219" t="s">
        <v>38</v>
      </c>
      <c r="R134" s="219" t="s">
        <v>38</v>
      </c>
      <c r="S134" s="219" t="s">
        <v>38</v>
      </c>
      <c r="T134" s="219" t="s">
        <v>38</v>
      </c>
      <c r="U134" s="219" t="s">
        <v>38</v>
      </c>
      <c r="V134" s="219" t="s">
        <v>38</v>
      </c>
      <c r="W134" s="219" t="s">
        <v>38</v>
      </c>
      <c r="X134" s="219" t="s">
        <v>38</v>
      </c>
      <c r="Y134" s="219" t="s">
        <v>38</v>
      </c>
      <c r="Z134" s="219" t="s">
        <v>38</v>
      </c>
    </row>
    <row r="135" spans="1:26" x14ac:dyDescent="0.2">
      <c r="A135" s="129" t="s">
        <v>26</v>
      </c>
      <c r="B135" s="214" t="s">
        <v>165</v>
      </c>
      <c r="C135" s="214" t="s">
        <v>165</v>
      </c>
      <c r="D135" s="214" t="s">
        <v>165</v>
      </c>
      <c r="E135" s="214" t="s">
        <v>165</v>
      </c>
      <c r="F135" s="214" t="s">
        <v>165</v>
      </c>
      <c r="G135" s="214" t="s">
        <v>165</v>
      </c>
      <c r="H135" s="214" t="s">
        <v>165</v>
      </c>
      <c r="I135" s="214" t="s">
        <v>165</v>
      </c>
      <c r="J135" s="214" t="s">
        <v>165</v>
      </c>
      <c r="K135" s="214" t="s">
        <v>165</v>
      </c>
      <c r="L135" s="214" t="s">
        <v>165</v>
      </c>
      <c r="M135" s="214" t="s">
        <v>165</v>
      </c>
      <c r="N135" s="214" t="s">
        <v>165</v>
      </c>
      <c r="O135" s="214" t="s">
        <v>165</v>
      </c>
      <c r="P135" s="214" t="s">
        <v>165</v>
      </c>
      <c r="Q135" s="216" t="s">
        <v>165</v>
      </c>
      <c r="R135" s="214" t="s">
        <v>165</v>
      </c>
      <c r="S135" s="214" t="s">
        <v>165</v>
      </c>
      <c r="T135" s="214" t="s">
        <v>165</v>
      </c>
      <c r="U135" s="214" t="s">
        <v>165</v>
      </c>
      <c r="V135" s="214" t="s">
        <v>165</v>
      </c>
      <c r="W135" s="214" t="s">
        <v>165</v>
      </c>
      <c r="X135" s="214" t="s">
        <v>165</v>
      </c>
      <c r="Y135" s="214" t="s">
        <v>165</v>
      </c>
      <c r="Z135" s="214" t="s">
        <v>165</v>
      </c>
    </row>
    <row r="136" spans="1:26" x14ac:dyDescent="0.2">
      <c r="A136" s="129" t="s">
        <v>27</v>
      </c>
      <c r="B136" s="214" t="s">
        <v>165</v>
      </c>
      <c r="C136" s="214" t="s">
        <v>165</v>
      </c>
      <c r="D136" s="214" t="s">
        <v>165</v>
      </c>
      <c r="E136" s="214" t="s">
        <v>165</v>
      </c>
      <c r="F136" s="214" t="s">
        <v>165</v>
      </c>
      <c r="G136" s="214" t="s">
        <v>165</v>
      </c>
      <c r="H136" s="214" t="s">
        <v>165</v>
      </c>
      <c r="I136" s="214" t="s">
        <v>165</v>
      </c>
      <c r="J136" s="214" t="s">
        <v>165</v>
      </c>
      <c r="K136" s="214" t="s">
        <v>165</v>
      </c>
      <c r="L136" s="214" t="s">
        <v>165</v>
      </c>
      <c r="M136" s="214" t="s">
        <v>165</v>
      </c>
      <c r="N136" s="214" t="s">
        <v>165</v>
      </c>
      <c r="O136" s="214" t="s">
        <v>165</v>
      </c>
      <c r="P136" s="214" t="s">
        <v>165</v>
      </c>
      <c r="Q136" s="216" t="s">
        <v>165</v>
      </c>
      <c r="R136" s="214" t="s">
        <v>165</v>
      </c>
      <c r="S136" s="214" t="s">
        <v>165</v>
      </c>
      <c r="T136" s="214" t="s">
        <v>165</v>
      </c>
      <c r="U136" s="214" t="s">
        <v>165</v>
      </c>
      <c r="V136" s="214" t="s">
        <v>165</v>
      </c>
      <c r="W136" s="214" t="s">
        <v>165</v>
      </c>
      <c r="X136" s="214" t="s">
        <v>165</v>
      </c>
      <c r="Y136" s="214" t="s">
        <v>165</v>
      </c>
      <c r="Z136" s="214" t="s">
        <v>165</v>
      </c>
    </row>
    <row r="137" spans="1:26" x14ac:dyDescent="0.2">
      <c r="A137" s="129" t="s">
        <v>28</v>
      </c>
      <c r="B137" s="214" t="s">
        <v>165</v>
      </c>
      <c r="C137" s="214" t="s">
        <v>165</v>
      </c>
      <c r="D137" s="214" t="s">
        <v>165</v>
      </c>
      <c r="E137" s="214" t="s">
        <v>165</v>
      </c>
      <c r="F137" s="214" t="s">
        <v>165</v>
      </c>
      <c r="G137" s="214" t="s">
        <v>165</v>
      </c>
      <c r="H137" s="214" t="s">
        <v>165</v>
      </c>
      <c r="I137" s="214" t="s">
        <v>165</v>
      </c>
      <c r="J137" s="214" t="s">
        <v>165</v>
      </c>
      <c r="K137" s="214" t="s">
        <v>165</v>
      </c>
      <c r="L137" s="214" t="s">
        <v>165</v>
      </c>
      <c r="M137" s="214" t="s">
        <v>165</v>
      </c>
      <c r="N137" s="214" t="s">
        <v>165</v>
      </c>
      <c r="O137" s="214" t="s">
        <v>165</v>
      </c>
      <c r="P137" s="214" t="s">
        <v>165</v>
      </c>
      <c r="Q137" s="216" t="s">
        <v>165</v>
      </c>
      <c r="R137" s="214" t="s">
        <v>165</v>
      </c>
      <c r="S137" s="214" t="s">
        <v>165</v>
      </c>
      <c r="T137" s="214" t="s">
        <v>165</v>
      </c>
      <c r="U137" s="214" t="s">
        <v>165</v>
      </c>
      <c r="V137" s="214" t="s">
        <v>165</v>
      </c>
      <c r="W137" s="214" t="s">
        <v>165</v>
      </c>
      <c r="X137" s="214" t="s">
        <v>165</v>
      </c>
      <c r="Y137" s="214" t="s">
        <v>165</v>
      </c>
      <c r="Z137" s="214" t="s">
        <v>165</v>
      </c>
    </row>
    <row r="138" spans="1:26" x14ac:dyDescent="0.2">
      <c r="A138" s="129" t="s">
        <v>29</v>
      </c>
      <c r="B138" s="214" t="s">
        <v>165</v>
      </c>
      <c r="C138" s="214" t="s">
        <v>165</v>
      </c>
      <c r="D138" s="214" t="s">
        <v>165</v>
      </c>
      <c r="E138" s="214" t="s">
        <v>165</v>
      </c>
      <c r="F138" s="214" t="s">
        <v>165</v>
      </c>
      <c r="G138" s="214" t="s">
        <v>165</v>
      </c>
      <c r="H138" s="214" t="s">
        <v>165</v>
      </c>
      <c r="I138" s="214" t="s">
        <v>165</v>
      </c>
      <c r="J138" s="214" t="s">
        <v>165</v>
      </c>
      <c r="K138" s="214" t="s">
        <v>165</v>
      </c>
      <c r="L138" s="214" t="s">
        <v>165</v>
      </c>
      <c r="M138" s="214" t="s">
        <v>165</v>
      </c>
      <c r="N138" s="214" t="s">
        <v>165</v>
      </c>
      <c r="O138" s="214" t="s">
        <v>165</v>
      </c>
      <c r="P138" s="214" t="s">
        <v>165</v>
      </c>
      <c r="Q138" s="216" t="s">
        <v>165</v>
      </c>
      <c r="R138" s="214" t="s">
        <v>165</v>
      </c>
      <c r="S138" s="214" t="s">
        <v>165</v>
      </c>
      <c r="T138" s="214" t="s">
        <v>165</v>
      </c>
      <c r="U138" s="214" t="s">
        <v>165</v>
      </c>
      <c r="V138" s="214" t="s">
        <v>165</v>
      </c>
      <c r="W138" s="214" t="s">
        <v>165</v>
      </c>
      <c r="X138" s="214" t="s">
        <v>165</v>
      </c>
      <c r="Y138" s="214" t="s">
        <v>165</v>
      </c>
      <c r="Z138" s="214" t="s">
        <v>165</v>
      </c>
    </row>
    <row r="139" spans="1:26" x14ac:dyDescent="0.2">
      <c r="A139" s="129" t="s">
        <v>30</v>
      </c>
      <c r="B139" s="214" t="s">
        <v>165</v>
      </c>
      <c r="C139" s="214" t="s">
        <v>165</v>
      </c>
      <c r="D139" s="214" t="s">
        <v>165</v>
      </c>
      <c r="E139" s="214" t="s">
        <v>165</v>
      </c>
      <c r="F139" s="214" t="s">
        <v>165</v>
      </c>
      <c r="G139" s="214" t="s">
        <v>165</v>
      </c>
      <c r="H139" s="214" t="s">
        <v>165</v>
      </c>
      <c r="I139" s="214" t="s">
        <v>165</v>
      </c>
      <c r="J139" s="214" t="s">
        <v>165</v>
      </c>
      <c r="K139" s="214" t="s">
        <v>165</v>
      </c>
      <c r="L139" s="214" t="s">
        <v>165</v>
      </c>
      <c r="M139" s="214" t="s">
        <v>165</v>
      </c>
      <c r="N139" s="214" t="s">
        <v>165</v>
      </c>
      <c r="O139" s="214" t="s">
        <v>165</v>
      </c>
      <c r="P139" s="214" t="s">
        <v>165</v>
      </c>
      <c r="Q139" s="216" t="s">
        <v>165</v>
      </c>
      <c r="R139" s="214" t="s">
        <v>165</v>
      </c>
      <c r="S139" s="214" t="s">
        <v>165</v>
      </c>
      <c r="T139" s="214" t="s">
        <v>165</v>
      </c>
      <c r="U139" s="214" t="s">
        <v>165</v>
      </c>
      <c r="V139" s="214" t="s">
        <v>165</v>
      </c>
      <c r="W139" s="214" t="s">
        <v>165</v>
      </c>
      <c r="X139" s="214" t="s">
        <v>165</v>
      </c>
      <c r="Y139" s="214" t="s">
        <v>165</v>
      </c>
      <c r="Z139" s="214" t="s">
        <v>165</v>
      </c>
    </row>
    <row r="140" spans="1:26" x14ac:dyDescent="0.2">
      <c r="A140" s="129" t="s">
        <v>37</v>
      </c>
      <c r="B140" s="214" t="s">
        <v>165</v>
      </c>
      <c r="C140" s="214" t="s">
        <v>165</v>
      </c>
      <c r="D140" s="214" t="s">
        <v>165</v>
      </c>
      <c r="E140" s="214" t="s">
        <v>165</v>
      </c>
      <c r="F140" s="214" t="s">
        <v>165</v>
      </c>
      <c r="G140" s="214" t="s">
        <v>165</v>
      </c>
      <c r="H140" s="214" t="s">
        <v>165</v>
      </c>
      <c r="I140" s="214" t="s">
        <v>165</v>
      </c>
      <c r="J140" s="214" t="s">
        <v>165</v>
      </c>
      <c r="K140" s="214" t="s">
        <v>165</v>
      </c>
      <c r="L140" s="214" t="s">
        <v>165</v>
      </c>
      <c r="M140" s="214" t="s">
        <v>165</v>
      </c>
      <c r="N140" s="214" t="s">
        <v>165</v>
      </c>
      <c r="O140" s="214" t="s">
        <v>165</v>
      </c>
      <c r="P140" s="214" t="s">
        <v>165</v>
      </c>
      <c r="Q140" s="216" t="s">
        <v>165</v>
      </c>
      <c r="R140" s="214" t="s">
        <v>165</v>
      </c>
      <c r="S140" s="214" t="s">
        <v>165</v>
      </c>
      <c r="T140" s="214" t="s">
        <v>165</v>
      </c>
      <c r="U140" s="214" t="s">
        <v>165</v>
      </c>
      <c r="V140" s="214" t="s">
        <v>165</v>
      </c>
      <c r="W140" s="214" t="s">
        <v>165</v>
      </c>
      <c r="X140" s="214" t="s">
        <v>165</v>
      </c>
      <c r="Y140" s="214" t="s">
        <v>165</v>
      </c>
      <c r="Z140" s="214" t="s">
        <v>165</v>
      </c>
    </row>
    <row r="141" spans="1:26" x14ac:dyDescent="0.2">
      <c r="A141" s="129" t="s">
        <v>31</v>
      </c>
      <c r="B141" s="214" t="s">
        <v>165</v>
      </c>
      <c r="C141" s="214" t="s">
        <v>165</v>
      </c>
      <c r="D141" s="214" t="s">
        <v>165</v>
      </c>
      <c r="E141" s="214" t="s">
        <v>165</v>
      </c>
      <c r="F141" s="214" t="s">
        <v>165</v>
      </c>
      <c r="G141" s="214" t="s">
        <v>165</v>
      </c>
      <c r="H141" s="214" t="s">
        <v>165</v>
      </c>
      <c r="I141" s="214" t="s">
        <v>165</v>
      </c>
      <c r="J141" s="214" t="s">
        <v>165</v>
      </c>
      <c r="K141" s="214" t="s">
        <v>165</v>
      </c>
      <c r="L141" s="214" t="s">
        <v>165</v>
      </c>
      <c r="M141" s="214" t="s">
        <v>165</v>
      </c>
      <c r="N141" s="214" t="s">
        <v>165</v>
      </c>
      <c r="O141" s="214" t="s">
        <v>165</v>
      </c>
      <c r="P141" s="214" t="s">
        <v>165</v>
      </c>
      <c r="Q141" s="216" t="s">
        <v>165</v>
      </c>
      <c r="R141" s="214" t="s">
        <v>165</v>
      </c>
      <c r="S141" s="214" t="s">
        <v>165</v>
      </c>
      <c r="T141" s="214" t="s">
        <v>165</v>
      </c>
      <c r="U141" s="214" t="s">
        <v>165</v>
      </c>
      <c r="V141" s="214" t="s">
        <v>165</v>
      </c>
      <c r="W141" s="214" t="s">
        <v>165</v>
      </c>
      <c r="X141" s="214" t="s">
        <v>165</v>
      </c>
      <c r="Y141" s="214" t="s">
        <v>165</v>
      </c>
      <c r="Z141" s="214" t="s">
        <v>165</v>
      </c>
    </row>
    <row r="142" spans="1:26" x14ac:dyDescent="0.2">
      <c r="A142" s="129" t="s">
        <v>32</v>
      </c>
      <c r="B142" s="214" t="s">
        <v>165</v>
      </c>
      <c r="C142" s="214" t="s">
        <v>165</v>
      </c>
      <c r="D142" s="214" t="s">
        <v>165</v>
      </c>
      <c r="E142" s="214" t="s">
        <v>165</v>
      </c>
      <c r="F142" s="214" t="s">
        <v>165</v>
      </c>
      <c r="G142" s="214" t="s">
        <v>165</v>
      </c>
      <c r="H142" s="214" t="s">
        <v>165</v>
      </c>
      <c r="I142" s="214" t="s">
        <v>165</v>
      </c>
      <c r="J142" s="214" t="s">
        <v>165</v>
      </c>
      <c r="K142" s="214" t="s">
        <v>165</v>
      </c>
      <c r="L142" s="214" t="s">
        <v>165</v>
      </c>
      <c r="M142" s="214" t="s">
        <v>165</v>
      </c>
      <c r="N142" s="214" t="s">
        <v>165</v>
      </c>
      <c r="O142" s="214" t="s">
        <v>165</v>
      </c>
      <c r="P142" s="214" t="s">
        <v>165</v>
      </c>
      <c r="Q142" s="216" t="s">
        <v>165</v>
      </c>
      <c r="R142" s="214" t="s">
        <v>165</v>
      </c>
      <c r="S142" s="214" t="s">
        <v>165</v>
      </c>
      <c r="T142" s="214" t="s">
        <v>165</v>
      </c>
      <c r="U142" s="214" t="s">
        <v>165</v>
      </c>
      <c r="V142" s="214" t="s">
        <v>165</v>
      </c>
      <c r="W142" s="214" t="s">
        <v>165</v>
      </c>
      <c r="X142" s="214" t="s">
        <v>165</v>
      </c>
      <c r="Y142" s="214" t="s">
        <v>165</v>
      </c>
      <c r="Z142" s="214" t="s">
        <v>165</v>
      </c>
    </row>
    <row r="143" spans="1:26" x14ac:dyDescent="0.2">
      <c r="A143" s="129" t="s">
        <v>33</v>
      </c>
      <c r="B143" s="214" t="s">
        <v>165</v>
      </c>
      <c r="C143" s="214" t="s">
        <v>165</v>
      </c>
      <c r="D143" s="214" t="s">
        <v>165</v>
      </c>
      <c r="E143" s="214" t="s">
        <v>165</v>
      </c>
      <c r="F143" s="214" t="s">
        <v>165</v>
      </c>
      <c r="G143" s="214" t="s">
        <v>165</v>
      </c>
      <c r="H143" s="214" t="s">
        <v>165</v>
      </c>
      <c r="I143" s="214" t="s">
        <v>165</v>
      </c>
      <c r="J143" s="214" t="s">
        <v>165</v>
      </c>
      <c r="K143" s="214" t="s">
        <v>165</v>
      </c>
      <c r="L143" s="214" t="s">
        <v>165</v>
      </c>
      <c r="M143" s="214" t="s">
        <v>165</v>
      </c>
      <c r="N143" s="214" t="s">
        <v>165</v>
      </c>
      <c r="O143" s="214" t="s">
        <v>165</v>
      </c>
      <c r="P143" s="214" t="s">
        <v>165</v>
      </c>
      <c r="Q143" s="216" t="s">
        <v>165</v>
      </c>
      <c r="R143" s="214" t="s">
        <v>165</v>
      </c>
      <c r="S143" s="214" t="s">
        <v>165</v>
      </c>
      <c r="T143" s="214" t="s">
        <v>165</v>
      </c>
      <c r="U143" s="214" t="s">
        <v>165</v>
      </c>
      <c r="V143" s="214" t="s">
        <v>165</v>
      </c>
      <c r="W143" s="214" t="s">
        <v>165</v>
      </c>
      <c r="X143" s="214" t="s">
        <v>165</v>
      </c>
      <c r="Y143" s="214" t="s">
        <v>165</v>
      </c>
      <c r="Z143" s="214" t="s">
        <v>165</v>
      </c>
    </row>
    <row r="144" spans="1:26" x14ac:dyDescent="0.2">
      <c r="A144" s="129" t="s">
        <v>34</v>
      </c>
      <c r="B144" s="214" t="s">
        <v>165</v>
      </c>
      <c r="C144" s="214" t="s">
        <v>165</v>
      </c>
      <c r="D144" s="214" t="s">
        <v>165</v>
      </c>
      <c r="E144" s="214" t="s">
        <v>165</v>
      </c>
      <c r="F144" s="214" t="s">
        <v>165</v>
      </c>
      <c r="G144" s="214" t="s">
        <v>165</v>
      </c>
      <c r="H144" s="214" t="s">
        <v>165</v>
      </c>
      <c r="I144" s="214" t="s">
        <v>165</v>
      </c>
      <c r="J144" s="214" t="s">
        <v>165</v>
      </c>
      <c r="K144" s="214" t="s">
        <v>165</v>
      </c>
      <c r="L144" s="214" t="s">
        <v>165</v>
      </c>
      <c r="M144" s="214" t="s">
        <v>165</v>
      </c>
      <c r="N144" s="214" t="s">
        <v>165</v>
      </c>
      <c r="O144" s="214" t="s">
        <v>165</v>
      </c>
      <c r="P144" s="214" t="s">
        <v>165</v>
      </c>
      <c r="Q144" s="216" t="s">
        <v>165</v>
      </c>
      <c r="R144" s="214" t="s">
        <v>165</v>
      </c>
      <c r="S144" s="214" t="s">
        <v>165</v>
      </c>
      <c r="T144" s="214" t="s">
        <v>165</v>
      </c>
      <c r="U144" s="214" t="s">
        <v>165</v>
      </c>
      <c r="V144" s="214" t="s">
        <v>165</v>
      </c>
      <c r="W144" s="214" t="s">
        <v>165</v>
      </c>
      <c r="X144" s="214" t="s">
        <v>165</v>
      </c>
      <c r="Y144" s="214" t="s">
        <v>165</v>
      </c>
      <c r="Z144" s="214" t="s">
        <v>165</v>
      </c>
    </row>
    <row r="145" spans="1:26" x14ac:dyDescent="0.2">
      <c r="A145" s="129" t="s">
        <v>35</v>
      </c>
      <c r="B145" s="214" t="s">
        <v>165</v>
      </c>
      <c r="C145" s="214" t="s">
        <v>165</v>
      </c>
      <c r="D145" s="214" t="s">
        <v>165</v>
      </c>
      <c r="E145" s="214" t="s">
        <v>165</v>
      </c>
      <c r="F145" s="214" t="s">
        <v>165</v>
      </c>
      <c r="G145" s="214" t="s">
        <v>165</v>
      </c>
      <c r="H145" s="214" t="s">
        <v>165</v>
      </c>
      <c r="I145" s="214" t="s">
        <v>165</v>
      </c>
      <c r="J145" s="214" t="s">
        <v>165</v>
      </c>
      <c r="K145" s="214" t="s">
        <v>165</v>
      </c>
      <c r="L145" s="214" t="s">
        <v>165</v>
      </c>
      <c r="M145" s="214" t="s">
        <v>165</v>
      </c>
      <c r="N145" s="214" t="s">
        <v>165</v>
      </c>
      <c r="O145" s="214" t="s">
        <v>165</v>
      </c>
      <c r="P145" s="214" t="s">
        <v>165</v>
      </c>
      <c r="Q145" s="216" t="s">
        <v>165</v>
      </c>
      <c r="R145" s="214" t="s">
        <v>165</v>
      </c>
      <c r="S145" s="214" t="s">
        <v>165</v>
      </c>
      <c r="T145" s="214" t="s">
        <v>165</v>
      </c>
      <c r="U145" s="214" t="s">
        <v>165</v>
      </c>
      <c r="V145" s="214" t="s">
        <v>165</v>
      </c>
      <c r="W145" s="214" t="s">
        <v>165</v>
      </c>
      <c r="X145" s="214" t="s">
        <v>165</v>
      </c>
      <c r="Y145" s="214" t="s">
        <v>165</v>
      </c>
      <c r="Z145" s="214" t="s">
        <v>165</v>
      </c>
    </row>
    <row r="146" spans="1:26" x14ac:dyDescent="0.2">
      <c r="A146" s="129" t="s">
        <v>36</v>
      </c>
      <c r="B146" s="214" t="s">
        <v>165</v>
      </c>
      <c r="C146" s="214" t="s">
        <v>165</v>
      </c>
      <c r="D146" s="214" t="s">
        <v>165</v>
      </c>
      <c r="E146" s="214" t="s">
        <v>165</v>
      </c>
      <c r="F146" s="214" t="s">
        <v>165</v>
      </c>
      <c r="G146" s="214" t="s">
        <v>165</v>
      </c>
      <c r="H146" s="214" t="s">
        <v>165</v>
      </c>
      <c r="I146" s="214" t="s">
        <v>165</v>
      </c>
      <c r="J146" s="214" t="s">
        <v>165</v>
      </c>
      <c r="K146" s="214" t="s">
        <v>165</v>
      </c>
      <c r="L146" s="214" t="s">
        <v>165</v>
      </c>
      <c r="M146" s="214" t="s">
        <v>165</v>
      </c>
      <c r="N146" s="214" t="s">
        <v>165</v>
      </c>
      <c r="O146" s="214" t="s">
        <v>165</v>
      </c>
      <c r="P146" s="214" t="s">
        <v>165</v>
      </c>
      <c r="Q146" s="216" t="s">
        <v>165</v>
      </c>
      <c r="R146" s="214" t="s">
        <v>165</v>
      </c>
      <c r="S146" s="214" t="s">
        <v>165</v>
      </c>
      <c r="T146" s="214" t="s">
        <v>165</v>
      </c>
      <c r="U146" s="214" t="s">
        <v>165</v>
      </c>
      <c r="V146" s="214" t="s">
        <v>165</v>
      </c>
      <c r="W146" s="214" t="s">
        <v>165</v>
      </c>
      <c r="X146" s="214" t="s">
        <v>165</v>
      </c>
      <c r="Y146" s="214" t="s">
        <v>165</v>
      </c>
      <c r="Z146" s="214" t="s">
        <v>165</v>
      </c>
    </row>
    <row r="147" spans="1:26" x14ac:dyDescent="0.2">
      <c r="A147" s="204" t="s">
        <v>141</v>
      </c>
      <c r="B147" s="214" t="s">
        <v>165</v>
      </c>
      <c r="C147" s="214" t="s">
        <v>165</v>
      </c>
      <c r="D147" s="214" t="s">
        <v>165</v>
      </c>
      <c r="E147" s="214" t="s">
        <v>165</v>
      </c>
      <c r="F147" s="214" t="s">
        <v>165</v>
      </c>
      <c r="G147" s="214" t="s">
        <v>165</v>
      </c>
      <c r="H147" s="214" t="s">
        <v>165</v>
      </c>
      <c r="I147" s="214" t="s">
        <v>165</v>
      </c>
      <c r="J147" s="214" t="s">
        <v>165</v>
      </c>
      <c r="K147" s="214" t="s">
        <v>165</v>
      </c>
      <c r="L147" s="214" t="s">
        <v>165</v>
      </c>
      <c r="M147" s="214" t="s">
        <v>165</v>
      </c>
      <c r="N147" s="214" t="s">
        <v>165</v>
      </c>
      <c r="O147" s="214" t="s">
        <v>165</v>
      </c>
      <c r="P147" s="214" t="s">
        <v>165</v>
      </c>
      <c r="Q147" s="216" t="s">
        <v>165</v>
      </c>
      <c r="R147" s="214" t="s">
        <v>165</v>
      </c>
      <c r="S147" s="214" t="s">
        <v>165</v>
      </c>
      <c r="T147" s="214" t="s">
        <v>165</v>
      </c>
      <c r="U147" s="214" t="s">
        <v>165</v>
      </c>
      <c r="V147" s="214" t="s">
        <v>165</v>
      </c>
      <c r="W147" s="214" t="s">
        <v>165</v>
      </c>
      <c r="X147" s="214" t="s">
        <v>165</v>
      </c>
      <c r="Y147" s="214" t="s">
        <v>165</v>
      </c>
      <c r="Z147" s="214" t="s">
        <v>165</v>
      </c>
    </row>
    <row r="148" spans="1:26" x14ac:dyDescent="0.2">
      <c r="A148" s="205" t="s">
        <v>142</v>
      </c>
      <c r="B148" s="214" t="s">
        <v>165</v>
      </c>
      <c r="C148" s="214" t="s">
        <v>165</v>
      </c>
      <c r="D148" s="214" t="s">
        <v>165</v>
      </c>
      <c r="E148" s="214" t="s">
        <v>165</v>
      </c>
      <c r="F148" s="214" t="s">
        <v>165</v>
      </c>
      <c r="G148" s="214" t="s">
        <v>165</v>
      </c>
      <c r="H148" s="214" t="s">
        <v>165</v>
      </c>
      <c r="I148" s="214" t="s">
        <v>165</v>
      </c>
      <c r="J148" s="214" t="s">
        <v>165</v>
      </c>
      <c r="K148" s="214" t="s">
        <v>165</v>
      </c>
      <c r="L148" s="214" t="s">
        <v>165</v>
      </c>
      <c r="M148" s="214" t="s">
        <v>165</v>
      </c>
      <c r="N148" s="214" t="s">
        <v>165</v>
      </c>
      <c r="O148" s="214" t="s">
        <v>165</v>
      </c>
      <c r="P148" s="214" t="s">
        <v>165</v>
      </c>
      <c r="Q148" s="216" t="s">
        <v>165</v>
      </c>
      <c r="R148" s="214" t="s">
        <v>165</v>
      </c>
      <c r="S148" s="214" t="s">
        <v>165</v>
      </c>
      <c r="T148" s="214" t="s">
        <v>165</v>
      </c>
      <c r="U148" s="214" t="s">
        <v>165</v>
      </c>
      <c r="V148" s="214" t="s">
        <v>165</v>
      </c>
      <c r="W148" s="214" t="s">
        <v>165</v>
      </c>
      <c r="X148" s="214" t="s">
        <v>165</v>
      </c>
      <c r="Y148" s="214" t="s">
        <v>165</v>
      </c>
      <c r="Z148" s="214" t="s">
        <v>165</v>
      </c>
    </row>
    <row r="149" spans="1:26" x14ac:dyDescent="0.2">
      <c r="A149" s="205" t="s">
        <v>160</v>
      </c>
      <c r="B149" s="214" t="s">
        <v>165</v>
      </c>
      <c r="C149" s="214" t="s">
        <v>165</v>
      </c>
      <c r="D149" s="214" t="s">
        <v>165</v>
      </c>
      <c r="E149" s="214" t="s">
        <v>165</v>
      </c>
      <c r="F149" s="214" t="s">
        <v>165</v>
      </c>
      <c r="G149" s="214" t="s">
        <v>165</v>
      </c>
      <c r="H149" s="214" t="s">
        <v>165</v>
      </c>
      <c r="I149" s="214" t="s">
        <v>165</v>
      </c>
      <c r="J149" s="214" t="s">
        <v>165</v>
      </c>
      <c r="K149" s="214" t="s">
        <v>165</v>
      </c>
      <c r="L149" s="214" t="s">
        <v>165</v>
      </c>
      <c r="M149" s="214" t="s">
        <v>165</v>
      </c>
      <c r="N149" s="214" t="s">
        <v>165</v>
      </c>
      <c r="O149" s="214" t="s">
        <v>165</v>
      </c>
      <c r="P149" s="214" t="s">
        <v>165</v>
      </c>
      <c r="Q149" s="216" t="s">
        <v>165</v>
      </c>
      <c r="R149" s="214" t="s">
        <v>165</v>
      </c>
      <c r="S149" s="214" t="s">
        <v>165</v>
      </c>
      <c r="T149" s="214" t="s">
        <v>165</v>
      </c>
      <c r="U149" s="214" t="s">
        <v>165</v>
      </c>
      <c r="V149" s="214" t="s">
        <v>165</v>
      </c>
      <c r="W149" s="214" t="s">
        <v>165</v>
      </c>
      <c r="X149" s="214" t="s">
        <v>165</v>
      </c>
      <c r="Y149" s="214" t="s">
        <v>165</v>
      </c>
      <c r="Z149" s="214" t="s">
        <v>165</v>
      </c>
    </row>
    <row r="150" spans="1:26" x14ac:dyDescent="0.2">
      <c r="A150" s="205" t="s">
        <v>161</v>
      </c>
      <c r="B150" s="214" t="s">
        <v>165</v>
      </c>
      <c r="C150" s="214" t="s">
        <v>165</v>
      </c>
      <c r="D150" s="214" t="s">
        <v>165</v>
      </c>
      <c r="E150" s="214" t="s">
        <v>165</v>
      </c>
      <c r="F150" s="214" t="s">
        <v>165</v>
      </c>
      <c r="G150" s="214" t="s">
        <v>165</v>
      </c>
      <c r="H150" s="214" t="s">
        <v>165</v>
      </c>
      <c r="I150" s="214" t="s">
        <v>165</v>
      </c>
      <c r="J150" s="214" t="s">
        <v>165</v>
      </c>
      <c r="K150" s="214" t="s">
        <v>165</v>
      </c>
      <c r="L150" s="214" t="s">
        <v>165</v>
      </c>
      <c r="M150" s="214" t="s">
        <v>165</v>
      </c>
      <c r="N150" s="214" t="s">
        <v>165</v>
      </c>
      <c r="O150" s="214" t="s">
        <v>165</v>
      </c>
      <c r="P150" s="214" t="s">
        <v>165</v>
      </c>
      <c r="Q150" s="216" t="s">
        <v>165</v>
      </c>
      <c r="R150" s="214" t="s">
        <v>165</v>
      </c>
      <c r="S150" s="214" t="s">
        <v>165</v>
      </c>
      <c r="T150" s="214" t="s">
        <v>165</v>
      </c>
      <c r="U150" s="214" t="s">
        <v>165</v>
      </c>
      <c r="V150" s="214" t="s">
        <v>165</v>
      </c>
      <c r="W150" s="214" t="s">
        <v>165</v>
      </c>
      <c r="X150" s="214" t="s">
        <v>165</v>
      </c>
      <c r="Y150" s="214" t="s">
        <v>165</v>
      </c>
      <c r="Z150" s="214" t="s">
        <v>165</v>
      </c>
    </row>
    <row r="151" spans="1:26" x14ac:dyDescent="0.2">
      <c r="A151" s="204" t="s">
        <v>186</v>
      </c>
      <c r="B151" s="214" t="s">
        <v>165</v>
      </c>
      <c r="C151" s="214" t="s">
        <v>165</v>
      </c>
      <c r="D151" s="214" t="s">
        <v>165</v>
      </c>
      <c r="E151" s="214" t="s">
        <v>165</v>
      </c>
      <c r="F151" s="214" t="s">
        <v>165</v>
      </c>
      <c r="G151" s="214" t="s">
        <v>165</v>
      </c>
      <c r="H151" s="214" t="s">
        <v>165</v>
      </c>
      <c r="I151" s="214" t="s">
        <v>165</v>
      </c>
      <c r="J151" s="214" t="s">
        <v>165</v>
      </c>
      <c r="K151" s="214" t="s">
        <v>165</v>
      </c>
      <c r="L151" s="214" t="s">
        <v>165</v>
      </c>
      <c r="M151" s="214" t="s">
        <v>165</v>
      </c>
      <c r="N151" s="214" t="s">
        <v>165</v>
      </c>
      <c r="O151" s="214" t="s">
        <v>165</v>
      </c>
      <c r="P151" s="214" t="s">
        <v>165</v>
      </c>
      <c r="Q151" s="216" t="s">
        <v>165</v>
      </c>
      <c r="R151" s="214" t="s">
        <v>165</v>
      </c>
      <c r="S151" s="214" t="s">
        <v>165</v>
      </c>
      <c r="T151" s="214" t="s">
        <v>165</v>
      </c>
      <c r="U151" s="214" t="s">
        <v>165</v>
      </c>
      <c r="V151" s="214" t="s">
        <v>165</v>
      </c>
      <c r="W151" s="214" t="s">
        <v>165</v>
      </c>
      <c r="X151" s="214" t="s">
        <v>165</v>
      </c>
      <c r="Y151" s="214" t="s">
        <v>165</v>
      </c>
      <c r="Z151" s="214" t="s">
        <v>165</v>
      </c>
    </row>
    <row r="152" spans="1:26" x14ac:dyDescent="0.2">
      <c r="B152" s="221"/>
    </row>
    <row r="153" spans="1:26" x14ac:dyDescent="0.2">
      <c r="B153" s="219" t="s">
        <v>39</v>
      </c>
      <c r="C153" s="219" t="s">
        <v>39</v>
      </c>
      <c r="D153" s="219" t="s">
        <v>39</v>
      </c>
      <c r="E153" s="219" t="s">
        <v>39</v>
      </c>
      <c r="F153" s="219" t="s">
        <v>39</v>
      </c>
      <c r="G153" s="219" t="s">
        <v>39</v>
      </c>
      <c r="H153" s="219" t="s">
        <v>39</v>
      </c>
      <c r="I153" s="219" t="s">
        <v>39</v>
      </c>
      <c r="J153" s="219" t="s">
        <v>39</v>
      </c>
      <c r="K153" s="219" t="s">
        <v>39</v>
      </c>
      <c r="L153" s="219" t="s">
        <v>39</v>
      </c>
      <c r="M153" s="219" t="s">
        <v>39</v>
      </c>
      <c r="N153" s="219" t="s">
        <v>39</v>
      </c>
      <c r="O153" s="219" t="s">
        <v>39</v>
      </c>
      <c r="P153" s="219" t="s">
        <v>39</v>
      </c>
      <c r="Q153" s="219" t="s">
        <v>39</v>
      </c>
      <c r="R153" s="219" t="s">
        <v>39</v>
      </c>
      <c r="S153" s="219" t="s">
        <v>39</v>
      </c>
      <c r="T153" s="219" t="s">
        <v>39</v>
      </c>
      <c r="U153" s="219" t="s">
        <v>39</v>
      </c>
      <c r="V153" s="219" t="s">
        <v>39</v>
      </c>
      <c r="W153" s="219" t="s">
        <v>39</v>
      </c>
      <c r="X153" s="219" t="s">
        <v>39</v>
      </c>
      <c r="Y153" s="219" t="s">
        <v>39</v>
      </c>
      <c r="Z153" s="219" t="s">
        <v>39</v>
      </c>
    </row>
    <row r="154" spans="1:26" x14ac:dyDescent="0.2">
      <c r="A154" s="129" t="s">
        <v>26</v>
      </c>
      <c r="B154" s="217" t="s">
        <v>165</v>
      </c>
      <c r="C154" s="217" t="s">
        <v>165</v>
      </c>
      <c r="D154" s="217" t="s">
        <v>165</v>
      </c>
      <c r="E154" s="217" t="s">
        <v>165</v>
      </c>
      <c r="F154" s="217" t="s">
        <v>165</v>
      </c>
      <c r="G154" s="217" t="s">
        <v>165</v>
      </c>
      <c r="H154" s="217" t="s">
        <v>165</v>
      </c>
      <c r="I154" s="217" t="s">
        <v>165</v>
      </c>
      <c r="J154" s="217" t="s">
        <v>165</v>
      </c>
      <c r="K154" s="217" t="s">
        <v>165</v>
      </c>
      <c r="L154" s="217" t="s">
        <v>165</v>
      </c>
      <c r="M154" s="217" t="s">
        <v>165</v>
      </c>
      <c r="N154" s="217" t="s">
        <v>165</v>
      </c>
      <c r="O154" s="217" t="s">
        <v>165</v>
      </c>
      <c r="P154" s="217" t="s">
        <v>165</v>
      </c>
      <c r="Q154" s="216" t="s">
        <v>165</v>
      </c>
      <c r="R154" s="217" t="s">
        <v>165</v>
      </c>
      <c r="S154" s="217" t="s">
        <v>165</v>
      </c>
      <c r="T154" s="217" t="s">
        <v>165</v>
      </c>
      <c r="U154" s="217" t="s">
        <v>165</v>
      </c>
      <c r="V154" s="217" t="s">
        <v>165</v>
      </c>
      <c r="W154" s="217" t="s">
        <v>165</v>
      </c>
      <c r="X154" s="217" t="s">
        <v>165</v>
      </c>
      <c r="Y154" s="217" t="s">
        <v>165</v>
      </c>
      <c r="Z154" s="217" t="s">
        <v>165</v>
      </c>
    </row>
    <row r="155" spans="1:26" x14ac:dyDescent="0.2">
      <c r="A155" s="129" t="s">
        <v>27</v>
      </c>
      <c r="B155" s="217" t="s">
        <v>165</v>
      </c>
      <c r="C155" s="217" t="s">
        <v>165</v>
      </c>
      <c r="D155" s="217" t="s">
        <v>165</v>
      </c>
      <c r="E155" s="217" t="s">
        <v>165</v>
      </c>
      <c r="F155" s="217" t="s">
        <v>165</v>
      </c>
      <c r="G155" s="217" t="s">
        <v>165</v>
      </c>
      <c r="H155" s="217" t="s">
        <v>165</v>
      </c>
      <c r="I155" s="217" t="s">
        <v>165</v>
      </c>
      <c r="J155" s="217" t="s">
        <v>165</v>
      </c>
      <c r="K155" s="217" t="s">
        <v>165</v>
      </c>
      <c r="L155" s="217" t="s">
        <v>165</v>
      </c>
      <c r="M155" s="217" t="s">
        <v>165</v>
      </c>
      <c r="N155" s="217" t="s">
        <v>165</v>
      </c>
      <c r="O155" s="217" t="s">
        <v>165</v>
      </c>
      <c r="P155" s="217" t="s">
        <v>165</v>
      </c>
      <c r="Q155" s="216" t="s">
        <v>165</v>
      </c>
      <c r="R155" s="217" t="s">
        <v>165</v>
      </c>
      <c r="S155" s="217" t="s">
        <v>165</v>
      </c>
      <c r="T155" s="217" t="s">
        <v>165</v>
      </c>
      <c r="U155" s="217" t="s">
        <v>165</v>
      </c>
      <c r="V155" s="217" t="s">
        <v>165</v>
      </c>
      <c r="W155" s="217" t="s">
        <v>165</v>
      </c>
      <c r="X155" s="217" t="s">
        <v>165</v>
      </c>
      <c r="Y155" s="217" t="s">
        <v>165</v>
      </c>
      <c r="Z155" s="217" t="s">
        <v>165</v>
      </c>
    </row>
    <row r="156" spans="1:26" x14ac:dyDescent="0.2">
      <c r="A156" s="129" t="s">
        <v>28</v>
      </c>
      <c r="B156" s="217" t="s">
        <v>165</v>
      </c>
      <c r="C156" s="217" t="s">
        <v>165</v>
      </c>
      <c r="D156" s="217" t="s">
        <v>165</v>
      </c>
      <c r="E156" s="217" t="s">
        <v>165</v>
      </c>
      <c r="F156" s="217" t="s">
        <v>165</v>
      </c>
      <c r="G156" s="217" t="s">
        <v>165</v>
      </c>
      <c r="H156" s="217" t="s">
        <v>165</v>
      </c>
      <c r="I156" s="217" t="s">
        <v>165</v>
      </c>
      <c r="J156" s="217" t="s">
        <v>165</v>
      </c>
      <c r="K156" s="217" t="s">
        <v>165</v>
      </c>
      <c r="L156" s="217" t="s">
        <v>165</v>
      </c>
      <c r="M156" s="217" t="s">
        <v>165</v>
      </c>
      <c r="N156" s="217" t="s">
        <v>165</v>
      </c>
      <c r="O156" s="217" t="s">
        <v>165</v>
      </c>
      <c r="P156" s="217" t="s">
        <v>165</v>
      </c>
      <c r="Q156" s="216" t="s">
        <v>165</v>
      </c>
      <c r="R156" s="217" t="s">
        <v>165</v>
      </c>
      <c r="S156" s="217" t="s">
        <v>165</v>
      </c>
      <c r="T156" s="217" t="s">
        <v>165</v>
      </c>
      <c r="U156" s="217" t="s">
        <v>165</v>
      </c>
      <c r="V156" s="217" t="s">
        <v>165</v>
      </c>
      <c r="W156" s="217" t="s">
        <v>165</v>
      </c>
      <c r="X156" s="217" t="s">
        <v>165</v>
      </c>
      <c r="Y156" s="217" t="s">
        <v>165</v>
      </c>
      <c r="Z156" s="217" t="s">
        <v>165</v>
      </c>
    </row>
    <row r="157" spans="1:26" x14ac:dyDescent="0.2">
      <c r="A157" s="129" t="s">
        <v>29</v>
      </c>
      <c r="B157" s="217" t="s">
        <v>165</v>
      </c>
      <c r="C157" s="217" t="s">
        <v>165</v>
      </c>
      <c r="D157" s="217" t="s">
        <v>165</v>
      </c>
      <c r="E157" s="217" t="s">
        <v>165</v>
      </c>
      <c r="F157" s="217" t="s">
        <v>165</v>
      </c>
      <c r="G157" s="217" t="s">
        <v>165</v>
      </c>
      <c r="H157" s="217" t="s">
        <v>165</v>
      </c>
      <c r="I157" s="217" t="s">
        <v>165</v>
      </c>
      <c r="J157" s="217" t="s">
        <v>165</v>
      </c>
      <c r="K157" s="217" t="s">
        <v>165</v>
      </c>
      <c r="L157" s="217" t="s">
        <v>165</v>
      </c>
      <c r="M157" s="217" t="s">
        <v>165</v>
      </c>
      <c r="N157" s="217" t="s">
        <v>165</v>
      </c>
      <c r="O157" s="217" t="s">
        <v>165</v>
      </c>
      <c r="P157" s="217" t="s">
        <v>165</v>
      </c>
      <c r="Q157" s="216" t="s">
        <v>165</v>
      </c>
      <c r="R157" s="217" t="s">
        <v>165</v>
      </c>
      <c r="S157" s="217" t="s">
        <v>165</v>
      </c>
      <c r="T157" s="217" t="s">
        <v>165</v>
      </c>
      <c r="U157" s="217" t="s">
        <v>165</v>
      </c>
      <c r="V157" s="217" t="s">
        <v>165</v>
      </c>
      <c r="W157" s="217" t="s">
        <v>165</v>
      </c>
      <c r="X157" s="217" t="s">
        <v>165</v>
      </c>
      <c r="Y157" s="217" t="s">
        <v>165</v>
      </c>
      <c r="Z157" s="217" t="s">
        <v>165</v>
      </c>
    </row>
    <row r="158" spans="1:26" x14ac:dyDescent="0.2">
      <c r="A158" s="129" t="s">
        <v>30</v>
      </c>
      <c r="B158" s="217" t="s">
        <v>165</v>
      </c>
      <c r="C158" s="217" t="s">
        <v>165</v>
      </c>
      <c r="D158" s="217" t="s">
        <v>165</v>
      </c>
      <c r="E158" s="217" t="s">
        <v>165</v>
      </c>
      <c r="F158" s="217" t="s">
        <v>165</v>
      </c>
      <c r="G158" s="217" t="s">
        <v>165</v>
      </c>
      <c r="H158" s="217" t="s">
        <v>165</v>
      </c>
      <c r="I158" s="217" t="s">
        <v>165</v>
      </c>
      <c r="J158" s="217" t="s">
        <v>165</v>
      </c>
      <c r="K158" s="217" t="s">
        <v>165</v>
      </c>
      <c r="L158" s="217" t="s">
        <v>165</v>
      </c>
      <c r="M158" s="217" t="s">
        <v>165</v>
      </c>
      <c r="N158" s="217" t="s">
        <v>165</v>
      </c>
      <c r="O158" s="217" t="s">
        <v>165</v>
      </c>
      <c r="P158" s="217" t="s">
        <v>165</v>
      </c>
      <c r="Q158" s="216" t="s">
        <v>165</v>
      </c>
      <c r="R158" s="217" t="s">
        <v>165</v>
      </c>
      <c r="S158" s="217" t="s">
        <v>165</v>
      </c>
      <c r="T158" s="217" t="s">
        <v>165</v>
      </c>
      <c r="U158" s="217" t="s">
        <v>165</v>
      </c>
      <c r="V158" s="217" t="s">
        <v>165</v>
      </c>
      <c r="W158" s="217" t="s">
        <v>165</v>
      </c>
      <c r="X158" s="217" t="s">
        <v>165</v>
      </c>
      <c r="Y158" s="217" t="s">
        <v>165</v>
      </c>
      <c r="Z158" s="217" t="s">
        <v>165</v>
      </c>
    </row>
    <row r="159" spans="1:26" x14ac:dyDescent="0.2">
      <c r="A159" s="129" t="s">
        <v>37</v>
      </c>
      <c r="B159" s="217" t="s">
        <v>165</v>
      </c>
      <c r="C159" s="217" t="s">
        <v>165</v>
      </c>
      <c r="D159" s="217" t="s">
        <v>165</v>
      </c>
      <c r="E159" s="217" t="s">
        <v>165</v>
      </c>
      <c r="F159" s="217" t="s">
        <v>165</v>
      </c>
      <c r="G159" s="217" t="s">
        <v>165</v>
      </c>
      <c r="H159" s="217" t="s">
        <v>165</v>
      </c>
      <c r="I159" s="217" t="s">
        <v>165</v>
      </c>
      <c r="J159" s="217" t="s">
        <v>165</v>
      </c>
      <c r="K159" s="217" t="s">
        <v>165</v>
      </c>
      <c r="L159" s="217" t="s">
        <v>165</v>
      </c>
      <c r="M159" s="217" t="s">
        <v>165</v>
      </c>
      <c r="N159" s="217" t="s">
        <v>165</v>
      </c>
      <c r="O159" s="217" t="s">
        <v>165</v>
      </c>
      <c r="P159" s="217" t="s">
        <v>165</v>
      </c>
      <c r="Q159" s="216" t="s">
        <v>165</v>
      </c>
      <c r="R159" s="217" t="s">
        <v>165</v>
      </c>
      <c r="S159" s="217" t="s">
        <v>165</v>
      </c>
      <c r="T159" s="217" t="s">
        <v>165</v>
      </c>
      <c r="U159" s="217" t="s">
        <v>165</v>
      </c>
      <c r="V159" s="217" t="s">
        <v>165</v>
      </c>
      <c r="W159" s="217" t="s">
        <v>165</v>
      </c>
      <c r="X159" s="217" t="s">
        <v>165</v>
      </c>
      <c r="Y159" s="217" t="s">
        <v>165</v>
      </c>
      <c r="Z159" s="217" t="s">
        <v>165</v>
      </c>
    </row>
    <row r="160" spans="1:26" x14ac:dyDescent="0.2">
      <c r="A160" s="129" t="s">
        <v>31</v>
      </c>
      <c r="B160" s="217" t="s">
        <v>165</v>
      </c>
      <c r="C160" s="217" t="s">
        <v>165</v>
      </c>
      <c r="D160" s="217" t="s">
        <v>165</v>
      </c>
      <c r="E160" s="217" t="s">
        <v>165</v>
      </c>
      <c r="F160" s="217" t="s">
        <v>165</v>
      </c>
      <c r="G160" s="217" t="s">
        <v>165</v>
      </c>
      <c r="H160" s="217" t="s">
        <v>165</v>
      </c>
      <c r="I160" s="217" t="s">
        <v>165</v>
      </c>
      <c r="J160" s="217" t="s">
        <v>165</v>
      </c>
      <c r="K160" s="217" t="s">
        <v>165</v>
      </c>
      <c r="L160" s="217" t="s">
        <v>165</v>
      </c>
      <c r="M160" s="217" t="s">
        <v>165</v>
      </c>
      <c r="N160" s="217" t="s">
        <v>165</v>
      </c>
      <c r="O160" s="217" t="s">
        <v>165</v>
      </c>
      <c r="P160" s="217" t="s">
        <v>165</v>
      </c>
      <c r="Q160" s="216" t="s">
        <v>165</v>
      </c>
      <c r="R160" s="217" t="s">
        <v>165</v>
      </c>
      <c r="S160" s="217" t="s">
        <v>165</v>
      </c>
      <c r="T160" s="217" t="s">
        <v>165</v>
      </c>
      <c r="U160" s="217" t="s">
        <v>165</v>
      </c>
      <c r="V160" s="217" t="s">
        <v>165</v>
      </c>
      <c r="W160" s="217" t="s">
        <v>165</v>
      </c>
      <c r="X160" s="217" t="s">
        <v>165</v>
      </c>
      <c r="Y160" s="217" t="s">
        <v>165</v>
      </c>
      <c r="Z160" s="217" t="s">
        <v>165</v>
      </c>
    </row>
    <row r="161" spans="1:26" x14ac:dyDescent="0.2">
      <c r="A161" s="129" t="s">
        <v>32</v>
      </c>
      <c r="B161" s="217" t="s">
        <v>165</v>
      </c>
      <c r="C161" s="217" t="s">
        <v>165</v>
      </c>
      <c r="D161" s="217" t="s">
        <v>165</v>
      </c>
      <c r="E161" s="217" t="s">
        <v>165</v>
      </c>
      <c r="F161" s="217" t="s">
        <v>165</v>
      </c>
      <c r="G161" s="217" t="s">
        <v>165</v>
      </c>
      <c r="H161" s="217" t="s">
        <v>165</v>
      </c>
      <c r="I161" s="217" t="s">
        <v>165</v>
      </c>
      <c r="J161" s="217" t="s">
        <v>165</v>
      </c>
      <c r="K161" s="217" t="s">
        <v>165</v>
      </c>
      <c r="L161" s="217" t="s">
        <v>165</v>
      </c>
      <c r="M161" s="217" t="s">
        <v>165</v>
      </c>
      <c r="N161" s="217" t="s">
        <v>165</v>
      </c>
      <c r="O161" s="217" t="s">
        <v>165</v>
      </c>
      <c r="P161" s="217" t="s">
        <v>165</v>
      </c>
      <c r="Q161" s="216" t="s">
        <v>165</v>
      </c>
      <c r="R161" s="217" t="s">
        <v>165</v>
      </c>
      <c r="S161" s="217" t="s">
        <v>165</v>
      </c>
      <c r="T161" s="217" t="s">
        <v>165</v>
      </c>
      <c r="U161" s="217" t="s">
        <v>165</v>
      </c>
      <c r="V161" s="217" t="s">
        <v>165</v>
      </c>
      <c r="W161" s="217" t="s">
        <v>165</v>
      </c>
      <c r="X161" s="217" t="s">
        <v>165</v>
      </c>
      <c r="Y161" s="217" t="s">
        <v>165</v>
      </c>
      <c r="Z161" s="217" t="s">
        <v>165</v>
      </c>
    </row>
    <row r="162" spans="1:26" x14ac:dyDescent="0.2">
      <c r="A162" s="129" t="s">
        <v>33</v>
      </c>
      <c r="B162" s="217" t="s">
        <v>165</v>
      </c>
      <c r="C162" s="217" t="s">
        <v>165</v>
      </c>
      <c r="D162" s="217" t="s">
        <v>165</v>
      </c>
      <c r="E162" s="217" t="s">
        <v>165</v>
      </c>
      <c r="F162" s="217" t="s">
        <v>165</v>
      </c>
      <c r="G162" s="217" t="s">
        <v>165</v>
      </c>
      <c r="H162" s="217" t="s">
        <v>165</v>
      </c>
      <c r="I162" s="217" t="s">
        <v>165</v>
      </c>
      <c r="J162" s="217" t="s">
        <v>165</v>
      </c>
      <c r="K162" s="217" t="s">
        <v>165</v>
      </c>
      <c r="L162" s="217" t="s">
        <v>165</v>
      </c>
      <c r="M162" s="217" t="s">
        <v>165</v>
      </c>
      <c r="N162" s="217" t="s">
        <v>165</v>
      </c>
      <c r="O162" s="217" t="s">
        <v>165</v>
      </c>
      <c r="P162" s="217" t="s">
        <v>165</v>
      </c>
      <c r="Q162" s="216" t="s">
        <v>165</v>
      </c>
      <c r="R162" s="217" t="s">
        <v>165</v>
      </c>
      <c r="S162" s="217" t="s">
        <v>165</v>
      </c>
      <c r="T162" s="217" t="s">
        <v>165</v>
      </c>
      <c r="U162" s="217" t="s">
        <v>165</v>
      </c>
      <c r="V162" s="217" t="s">
        <v>165</v>
      </c>
      <c r="W162" s="217" t="s">
        <v>165</v>
      </c>
      <c r="X162" s="217" t="s">
        <v>165</v>
      </c>
      <c r="Y162" s="217" t="s">
        <v>165</v>
      </c>
      <c r="Z162" s="217" t="s">
        <v>165</v>
      </c>
    </row>
    <row r="163" spans="1:26" x14ac:dyDescent="0.2">
      <c r="A163" s="129" t="s">
        <v>34</v>
      </c>
      <c r="B163" s="217" t="s">
        <v>165</v>
      </c>
      <c r="C163" s="217" t="s">
        <v>165</v>
      </c>
      <c r="D163" s="217" t="s">
        <v>165</v>
      </c>
      <c r="E163" s="217" t="s">
        <v>165</v>
      </c>
      <c r="F163" s="217" t="s">
        <v>165</v>
      </c>
      <c r="G163" s="217" t="s">
        <v>165</v>
      </c>
      <c r="H163" s="217" t="s">
        <v>165</v>
      </c>
      <c r="I163" s="217" t="s">
        <v>165</v>
      </c>
      <c r="J163" s="217" t="s">
        <v>165</v>
      </c>
      <c r="K163" s="217" t="s">
        <v>165</v>
      </c>
      <c r="L163" s="217" t="s">
        <v>165</v>
      </c>
      <c r="M163" s="217" t="s">
        <v>165</v>
      </c>
      <c r="N163" s="217" t="s">
        <v>165</v>
      </c>
      <c r="O163" s="217" t="s">
        <v>165</v>
      </c>
      <c r="P163" s="217" t="s">
        <v>165</v>
      </c>
      <c r="Q163" s="216" t="s">
        <v>165</v>
      </c>
      <c r="R163" s="217" t="s">
        <v>165</v>
      </c>
      <c r="S163" s="217" t="s">
        <v>165</v>
      </c>
      <c r="T163" s="217" t="s">
        <v>165</v>
      </c>
      <c r="U163" s="217" t="s">
        <v>165</v>
      </c>
      <c r="V163" s="217" t="s">
        <v>165</v>
      </c>
      <c r="W163" s="217" t="s">
        <v>165</v>
      </c>
      <c r="X163" s="217" t="s">
        <v>165</v>
      </c>
      <c r="Y163" s="217" t="s">
        <v>165</v>
      </c>
      <c r="Z163" s="217" t="s">
        <v>165</v>
      </c>
    </row>
    <row r="164" spans="1:26" x14ac:dyDescent="0.2">
      <c r="A164" s="129" t="s">
        <v>35</v>
      </c>
      <c r="B164" s="217" t="s">
        <v>165</v>
      </c>
      <c r="C164" s="217" t="s">
        <v>165</v>
      </c>
      <c r="D164" s="217" t="s">
        <v>165</v>
      </c>
      <c r="E164" s="217" t="s">
        <v>165</v>
      </c>
      <c r="F164" s="217" t="s">
        <v>165</v>
      </c>
      <c r="G164" s="217" t="s">
        <v>165</v>
      </c>
      <c r="H164" s="217" t="s">
        <v>165</v>
      </c>
      <c r="I164" s="217" t="s">
        <v>165</v>
      </c>
      <c r="J164" s="217" t="s">
        <v>165</v>
      </c>
      <c r="K164" s="217" t="s">
        <v>165</v>
      </c>
      <c r="L164" s="217" t="s">
        <v>165</v>
      </c>
      <c r="M164" s="217" t="s">
        <v>165</v>
      </c>
      <c r="N164" s="217" t="s">
        <v>165</v>
      </c>
      <c r="O164" s="217" t="s">
        <v>165</v>
      </c>
      <c r="P164" s="217" t="s">
        <v>165</v>
      </c>
      <c r="Q164" s="216" t="s">
        <v>165</v>
      </c>
      <c r="R164" s="217" t="s">
        <v>165</v>
      </c>
      <c r="S164" s="217" t="s">
        <v>165</v>
      </c>
      <c r="T164" s="217" t="s">
        <v>165</v>
      </c>
      <c r="U164" s="217" t="s">
        <v>165</v>
      </c>
      <c r="V164" s="217" t="s">
        <v>165</v>
      </c>
      <c r="W164" s="217" t="s">
        <v>165</v>
      </c>
      <c r="X164" s="217" t="s">
        <v>165</v>
      </c>
      <c r="Y164" s="217" t="s">
        <v>165</v>
      </c>
      <c r="Z164" s="217" t="s">
        <v>165</v>
      </c>
    </row>
    <row r="165" spans="1:26" x14ac:dyDescent="0.2">
      <c r="A165" s="129" t="s">
        <v>36</v>
      </c>
      <c r="B165" s="217" t="s">
        <v>165</v>
      </c>
      <c r="C165" s="217" t="s">
        <v>165</v>
      </c>
      <c r="D165" s="217" t="s">
        <v>165</v>
      </c>
      <c r="E165" s="217" t="s">
        <v>165</v>
      </c>
      <c r="F165" s="217" t="s">
        <v>165</v>
      </c>
      <c r="G165" s="217" t="s">
        <v>165</v>
      </c>
      <c r="H165" s="217" t="s">
        <v>165</v>
      </c>
      <c r="I165" s="217" t="s">
        <v>165</v>
      </c>
      <c r="J165" s="217" t="s">
        <v>165</v>
      </c>
      <c r="K165" s="217" t="s">
        <v>165</v>
      </c>
      <c r="L165" s="217" t="s">
        <v>165</v>
      </c>
      <c r="M165" s="217" t="s">
        <v>165</v>
      </c>
      <c r="N165" s="217" t="s">
        <v>165</v>
      </c>
      <c r="O165" s="217" t="s">
        <v>165</v>
      </c>
      <c r="P165" s="217" t="s">
        <v>165</v>
      </c>
      <c r="Q165" s="216" t="s">
        <v>165</v>
      </c>
      <c r="R165" s="217" t="s">
        <v>165</v>
      </c>
      <c r="S165" s="217" t="s">
        <v>165</v>
      </c>
      <c r="T165" s="217" t="s">
        <v>165</v>
      </c>
      <c r="U165" s="217" t="s">
        <v>165</v>
      </c>
      <c r="V165" s="217" t="s">
        <v>165</v>
      </c>
      <c r="W165" s="217" t="s">
        <v>165</v>
      </c>
      <c r="X165" s="217" t="s">
        <v>165</v>
      </c>
      <c r="Y165" s="217" t="s">
        <v>165</v>
      </c>
      <c r="Z165" s="217" t="s">
        <v>165</v>
      </c>
    </row>
    <row r="166" spans="1:26" x14ac:dyDescent="0.2">
      <c r="A166" s="204" t="s">
        <v>141</v>
      </c>
      <c r="B166" s="217" t="s">
        <v>165</v>
      </c>
      <c r="C166" s="217" t="s">
        <v>165</v>
      </c>
      <c r="D166" s="217" t="s">
        <v>165</v>
      </c>
      <c r="E166" s="217" t="s">
        <v>165</v>
      </c>
      <c r="F166" s="217" t="s">
        <v>165</v>
      </c>
      <c r="G166" s="217" t="s">
        <v>165</v>
      </c>
      <c r="H166" s="217" t="s">
        <v>165</v>
      </c>
      <c r="I166" s="217" t="s">
        <v>165</v>
      </c>
      <c r="J166" s="217" t="s">
        <v>165</v>
      </c>
      <c r="K166" s="217" t="s">
        <v>165</v>
      </c>
      <c r="L166" s="217" t="s">
        <v>165</v>
      </c>
      <c r="M166" s="217" t="s">
        <v>165</v>
      </c>
      <c r="N166" s="217" t="s">
        <v>165</v>
      </c>
      <c r="O166" s="217" t="s">
        <v>165</v>
      </c>
      <c r="P166" s="217" t="s">
        <v>165</v>
      </c>
      <c r="Q166" s="216" t="s">
        <v>165</v>
      </c>
      <c r="R166" s="217" t="s">
        <v>165</v>
      </c>
      <c r="S166" s="217" t="s">
        <v>165</v>
      </c>
      <c r="T166" s="217" t="s">
        <v>165</v>
      </c>
      <c r="U166" s="217" t="s">
        <v>165</v>
      </c>
      <c r="V166" s="217" t="s">
        <v>165</v>
      </c>
      <c r="W166" s="217" t="s">
        <v>165</v>
      </c>
      <c r="X166" s="217" t="s">
        <v>165</v>
      </c>
      <c r="Y166" s="217" t="s">
        <v>165</v>
      </c>
      <c r="Z166" s="217" t="s">
        <v>165</v>
      </c>
    </row>
    <row r="167" spans="1:26" x14ac:dyDescent="0.2">
      <c r="A167" s="205" t="s">
        <v>142</v>
      </c>
      <c r="B167" s="217" t="s">
        <v>165</v>
      </c>
      <c r="C167" s="217" t="s">
        <v>165</v>
      </c>
      <c r="D167" s="217" t="s">
        <v>165</v>
      </c>
      <c r="E167" s="217" t="s">
        <v>165</v>
      </c>
      <c r="F167" s="217" t="s">
        <v>165</v>
      </c>
      <c r="G167" s="217" t="s">
        <v>165</v>
      </c>
      <c r="H167" s="217" t="s">
        <v>165</v>
      </c>
      <c r="I167" s="217" t="s">
        <v>165</v>
      </c>
      <c r="J167" s="217" t="s">
        <v>165</v>
      </c>
      <c r="K167" s="217" t="s">
        <v>165</v>
      </c>
      <c r="L167" s="217" t="s">
        <v>165</v>
      </c>
      <c r="M167" s="217" t="s">
        <v>165</v>
      </c>
      <c r="N167" s="217" t="s">
        <v>165</v>
      </c>
      <c r="O167" s="217" t="s">
        <v>165</v>
      </c>
      <c r="P167" s="217" t="s">
        <v>165</v>
      </c>
      <c r="Q167" s="216" t="s">
        <v>165</v>
      </c>
      <c r="R167" s="217" t="s">
        <v>165</v>
      </c>
      <c r="S167" s="217" t="s">
        <v>165</v>
      </c>
      <c r="T167" s="217" t="s">
        <v>165</v>
      </c>
      <c r="U167" s="217" t="s">
        <v>165</v>
      </c>
      <c r="V167" s="217" t="s">
        <v>165</v>
      </c>
      <c r="W167" s="217" t="s">
        <v>165</v>
      </c>
      <c r="X167" s="217" t="s">
        <v>165</v>
      </c>
      <c r="Y167" s="217" t="s">
        <v>165</v>
      </c>
      <c r="Z167" s="217" t="s">
        <v>165</v>
      </c>
    </row>
    <row r="168" spans="1:26" x14ac:dyDescent="0.2">
      <c r="A168" s="205" t="s">
        <v>160</v>
      </c>
      <c r="B168" s="217" t="s">
        <v>165</v>
      </c>
      <c r="C168" s="217" t="s">
        <v>165</v>
      </c>
      <c r="D168" s="217" t="s">
        <v>165</v>
      </c>
      <c r="E168" s="217" t="s">
        <v>165</v>
      </c>
      <c r="F168" s="217" t="s">
        <v>165</v>
      </c>
      <c r="G168" s="217" t="s">
        <v>165</v>
      </c>
      <c r="H168" s="217" t="s">
        <v>165</v>
      </c>
      <c r="I168" s="217" t="s">
        <v>165</v>
      </c>
      <c r="J168" s="217" t="s">
        <v>165</v>
      </c>
      <c r="K168" s="217" t="s">
        <v>165</v>
      </c>
      <c r="L168" s="217" t="s">
        <v>165</v>
      </c>
      <c r="M168" s="217" t="s">
        <v>165</v>
      </c>
      <c r="N168" s="217" t="s">
        <v>165</v>
      </c>
      <c r="O168" s="217" t="s">
        <v>165</v>
      </c>
      <c r="P168" s="217" t="s">
        <v>165</v>
      </c>
      <c r="Q168" s="216" t="s">
        <v>165</v>
      </c>
      <c r="R168" s="217" t="s">
        <v>165</v>
      </c>
      <c r="S168" s="217" t="s">
        <v>165</v>
      </c>
      <c r="T168" s="217" t="s">
        <v>165</v>
      </c>
      <c r="U168" s="217" t="s">
        <v>165</v>
      </c>
      <c r="V168" s="217" t="s">
        <v>165</v>
      </c>
      <c r="W168" s="217" t="s">
        <v>165</v>
      </c>
      <c r="X168" s="217" t="s">
        <v>165</v>
      </c>
      <c r="Y168" s="217" t="s">
        <v>165</v>
      </c>
      <c r="Z168" s="217" t="s">
        <v>165</v>
      </c>
    </row>
    <row r="169" spans="1:26" x14ac:dyDescent="0.2">
      <c r="A169" s="205" t="s">
        <v>161</v>
      </c>
      <c r="B169" s="217" t="s">
        <v>165</v>
      </c>
      <c r="C169" s="217" t="s">
        <v>165</v>
      </c>
      <c r="D169" s="217" t="s">
        <v>165</v>
      </c>
      <c r="E169" s="217" t="s">
        <v>165</v>
      </c>
      <c r="F169" s="217" t="s">
        <v>165</v>
      </c>
      <c r="G169" s="217" t="s">
        <v>165</v>
      </c>
      <c r="H169" s="217" t="s">
        <v>165</v>
      </c>
      <c r="I169" s="217" t="s">
        <v>165</v>
      </c>
      <c r="J169" s="217" t="s">
        <v>165</v>
      </c>
      <c r="K169" s="217" t="s">
        <v>165</v>
      </c>
      <c r="L169" s="217" t="s">
        <v>165</v>
      </c>
      <c r="M169" s="217" t="s">
        <v>165</v>
      </c>
      <c r="N169" s="217" t="s">
        <v>165</v>
      </c>
      <c r="O169" s="217" t="s">
        <v>165</v>
      </c>
      <c r="P169" s="217" t="s">
        <v>165</v>
      </c>
      <c r="Q169" s="216" t="s">
        <v>165</v>
      </c>
      <c r="R169" s="217" t="s">
        <v>165</v>
      </c>
      <c r="S169" s="217" t="s">
        <v>165</v>
      </c>
      <c r="T169" s="217" t="s">
        <v>165</v>
      </c>
      <c r="U169" s="217" t="s">
        <v>165</v>
      </c>
      <c r="V169" s="217" t="s">
        <v>165</v>
      </c>
      <c r="W169" s="217" t="s">
        <v>165</v>
      </c>
      <c r="X169" s="217" t="s">
        <v>165</v>
      </c>
      <c r="Y169" s="217" t="s">
        <v>165</v>
      </c>
      <c r="Z169" s="217" t="s">
        <v>165</v>
      </c>
    </row>
    <row r="170" spans="1:26" x14ac:dyDescent="0.2">
      <c r="A170" s="204" t="s">
        <v>186</v>
      </c>
      <c r="B170" s="217" t="s">
        <v>165</v>
      </c>
      <c r="C170" s="217" t="s">
        <v>165</v>
      </c>
      <c r="D170" s="217" t="s">
        <v>165</v>
      </c>
      <c r="E170" s="217" t="s">
        <v>165</v>
      </c>
      <c r="F170" s="217" t="s">
        <v>165</v>
      </c>
      <c r="G170" s="217" t="s">
        <v>165</v>
      </c>
      <c r="H170" s="217" t="s">
        <v>165</v>
      </c>
      <c r="I170" s="217" t="s">
        <v>165</v>
      </c>
      <c r="J170" s="217" t="s">
        <v>165</v>
      </c>
      <c r="K170" s="217" t="s">
        <v>165</v>
      </c>
      <c r="L170" s="217" t="s">
        <v>165</v>
      </c>
      <c r="M170" s="217" t="s">
        <v>165</v>
      </c>
      <c r="N170" s="217" t="s">
        <v>165</v>
      </c>
      <c r="O170" s="217" t="s">
        <v>165</v>
      </c>
      <c r="P170" s="217" t="s">
        <v>165</v>
      </c>
      <c r="Q170" s="216" t="s">
        <v>165</v>
      </c>
      <c r="R170" s="217" t="s">
        <v>165</v>
      </c>
      <c r="S170" s="217" t="s">
        <v>165</v>
      </c>
      <c r="T170" s="217" t="s">
        <v>165</v>
      </c>
      <c r="U170" s="217" t="s">
        <v>165</v>
      </c>
      <c r="V170" s="217" t="s">
        <v>165</v>
      </c>
      <c r="W170" s="217" t="s">
        <v>165</v>
      </c>
      <c r="X170" s="217" t="s">
        <v>165</v>
      </c>
      <c r="Y170" s="217" t="s">
        <v>165</v>
      </c>
      <c r="Z170" s="217" t="s">
        <v>165</v>
      </c>
    </row>
    <row r="171" spans="1:26" s="207" customFormat="1" x14ac:dyDescent="0.2">
      <c r="A171" s="206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2"/>
    </row>
    <row r="173" spans="1:26" x14ac:dyDescent="0.2">
      <c r="A173" s="242" t="s">
        <v>228</v>
      </c>
      <c r="B173" s="242"/>
    </row>
    <row r="174" spans="1:26" x14ac:dyDescent="0.2">
      <c r="A174" s="242"/>
      <c r="B174" s="242"/>
    </row>
    <row r="175" spans="1:26" x14ac:dyDescent="0.2">
      <c r="A175" s="11"/>
    </row>
    <row r="176" spans="1:26" x14ac:dyDescent="0.2">
      <c r="B176" s="219" t="s">
        <v>170</v>
      </c>
      <c r="C176" s="219" t="s">
        <v>215</v>
      </c>
      <c r="D176" s="266" t="s">
        <v>239</v>
      </c>
      <c r="E176" s="266" t="s">
        <v>241</v>
      </c>
      <c r="F176" s="266" t="s">
        <v>242</v>
      </c>
      <c r="G176" s="219" t="s">
        <v>218</v>
      </c>
      <c r="H176" s="266" t="s">
        <v>246</v>
      </c>
      <c r="I176" s="266" t="s">
        <v>219</v>
      </c>
      <c r="J176" s="266" t="s">
        <v>248</v>
      </c>
      <c r="K176" s="219" t="s">
        <v>220</v>
      </c>
      <c r="L176" s="219" t="s">
        <v>221</v>
      </c>
      <c r="M176" s="219" t="s">
        <v>222</v>
      </c>
      <c r="N176" s="266" t="s">
        <v>258</v>
      </c>
      <c r="O176" s="266" t="s">
        <v>257</v>
      </c>
      <c r="P176" s="266" t="s">
        <v>261</v>
      </c>
      <c r="Q176" s="266" t="s">
        <v>265</v>
      </c>
      <c r="R176" s="219" t="s">
        <v>223</v>
      </c>
      <c r="S176" s="219" t="s">
        <v>224</v>
      </c>
      <c r="T176" s="266" t="s">
        <v>274</v>
      </c>
      <c r="U176" s="266" t="s">
        <v>225</v>
      </c>
      <c r="V176" s="266" t="s">
        <v>279</v>
      </c>
      <c r="W176" s="266" t="s">
        <v>282</v>
      </c>
      <c r="X176" s="266" t="s">
        <v>288</v>
      </c>
      <c r="Y176" s="266" t="s">
        <v>289</v>
      </c>
      <c r="Z176" s="229" t="s">
        <v>230</v>
      </c>
    </row>
    <row r="177" spans="1:26" x14ac:dyDescent="0.2">
      <c r="B177" s="219" t="s">
        <v>38</v>
      </c>
      <c r="C177" s="219" t="s">
        <v>38</v>
      </c>
      <c r="D177" s="219" t="s">
        <v>38</v>
      </c>
      <c r="E177" s="219" t="s">
        <v>38</v>
      </c>
      <c r="F177" s="219" t="s">
        <v>38</v>
      </c>
      <c r="G177" s="219" t="s">
        <v>38</v>
      </c>
      <c r="H177" s="219" t="s">
        <v>38</v>
      </c>
      <c r="I177" s="219" t="s">
        <v>38</v>
      </c>
      <c r="J177" s="219" t="s">
        <v>38</v>
      </c>
      <c r="K177" s="219" t="s">
        <v>38</v>
      </c>
      <c r="L177" s="219" t="s">
        <v>38</v>
      </c>
      <c r="M177" s="219" t="s">
        <v>38</v>
      </c>
      <c r="N177" s="219" t="s">
        <v>38</v>
      </c>
      <c r="O177" s="219" t="s">
        <v>38</v>
      </c>
      <c r="P177" s="219" t="s">
        <v>38</v>
      </c>
      <c r="Q177" s="219" t="s">
        <v>38</v>
      </c>
      <c r="R177" s="219" t="s">
        <v>38</v>
      </c>
      <c r="S177" s="219" t="s">
        <v>38</v>
      </c>
      <c r="T177" s="219" t="s">
        <v>38</v>
      </c>
      <c r="U177" s="219" t="s">
        <v>38</v>
      </c>
      <c r="V177" s="219" t="s">
        <v>38</v>
      </c>
      <c r="W177" s="219" t="s">
        <v>38</v>
      </c>
      <c r="X177" s="219" t="s">
        <v>38</v>
      </c>
      <c r="Y177" s="219" t="s">
        <v>38</v>
      </c>
      <c r="Z177" s="219" t="s">
        <v>38</v>
      </c>
    </row>
    <row r="178" spans="1:26" x14ac:dyDescent="0.2">
      <c r="A178" s="129" t="s">
        <v>26</v>
      </c>
      <c r="B178" s="214" t="s">
        <v>165</v>
      </c>
      <c r="C178" s="214" t="s">
        <v>165</v>
      </c>
      <c r="D178" s="216" t="s">
        <v>165</v>
      </c>
      <c r="E178" s="216">
        <f>'210-Single Family (ITE)'!G7</f>
        <v>1.7500000000000002E-2</v>
      </c>
      <c r="F178" s="216" t="s">
        <v>165</v>
      </c>
      <c r="G178" s="133">
        <f>'430 - Golf Course (ITE)'!G7</f>
        <v>5.3999999999999999E-2</v>
      </c>
      <c r="H178" s="216" t="s">
        <v>165</v>
      </c>
      <c r="I178" s="216" t="s">
        <v>165</v>
      </c>
      <c r="J178" s="216" t="s">
        <v>165</v>
      </c>
      <c r="K178" s="133">
        <f>'565 - Day Care (ITE)'!G7</f>
        <v>0</v>
      </c>
      <c r="L178" s="216" t="s">
        <v>165</v>
      </c>
      <c r="M178" s="216" t="s">
        <v>165</v>
      </c>
      <c r="N178" s="133">
        <f>'813 - Discount Superstore (ITE)'!G7</f>
        <v>9.4000000000000004E-3</v>
      </c>
      <c r="O178" s="216">
        <f>'815 - Discount Store (ITE)'!G7</f>
        <v>0</v>
      </c>
      <c r="P178" s="133">
        <f>'820 - Shopping Center (ITE)'!G7</f>
        <v>2E-3</v>
      </c>
      <c r="Q178" s="216" t="s">
        <v>165</v>
      </c>
      <c r="R178" s="216">
        <f>'850-Supermarket (ITE)'!G7</f>
        <v>1.0800000000000001E-2</v>
      </c>
      <c r="S178" s="133">
        <f>'857 - Discount Club (ITE)'!G7</f>
        <v>2E-3</v>
      </c>
      <c r="T178" s="267" t="s">
        <v>165</v>
      </c>
      <c r="U178" s="216" t="s">
        <v>165</v>
      </c>
      <c r="V178" s="133">
        <f>'932 - HTSD Restaurant (ITE)'!G7</f>
        <v>7.3000000000000001E-3</v>
      </c>
      <c r="W178" s="216">
        <f>'934 - Fast-Food w Drive (ITE)'!G7</f>
        <v>5.5999999999999999E-3</v>
      </c>
      <c r="X178" s="216" t="s">
        <v>165</v>
      </c>
      <c r="Y178" s="216" t="s">
        <v>165</v>
      </c>
      <c r="Z178" s="216" t="s">
        <v>165</v>
      </c>
    </row>
    <row r="179" spans="1:26" x14ac:dyDescent="0.2">
      <c r="A179" s="129" t="s">
        <v>27</v>
      </c>
      <c r="B179" s="214" t="s">
        <v>165</v>
      </c>
      <c r="C179" s="214" t="s">
        <v>165</v>
      </c>
      <c r="D179" s="216" t="s">
        <v>165</v>
      </c>
      <c r="E179" s="216">
        <f>'210-Single Family (ITE)'!G8</f>
        <v>5.8000000000000005E-3</v>
      </c>
      <c r="F179" s="216" t="s">
        <v>165</v>
      </c>
      <c r="G179" s="133">
        <f>'430 - Golf Course (ITE)'!G8</f>
        <v>7.0000000000000007E-2</v>
      </c>
      <c r="H179" s="216" t="s">
        <v>165</v>
      </c>
      <c r="I179" s="216" t="s">
        <v>165</v>
      </c>
      <c r="J179" s="216" t="s">
        <v>165</v>
      </c>
      <c r="K179" s="133">
        <f>'565 - Day Care (ITE)'!G8</f>
        <v>0</v>
      </c>
      <c r="L179" s="216" t="s">
        <v>165</v>
      </c>
      <c r="M179" s="216" t="s">
        <v>165</v>
      </c>
      <c r="N179" s="133">
        <f>'813 - Discount Superstore (ITE)'!G8</f>
        <v>1.54E-2</v>
      </c>
      <c r="O179" s="216">
        <f>'815 - Discount Store (ITE)'!G8</f>
        <v>0</v>
      </c>
      <c r="P179" s="133">
        <f>'820 - Shopping Center (ITE)'!G8</f>
        <v>4.0000000000000001E-3</v>
      </c>
      <c r="Q179" s="216" t="s">
        <v>165</v>
      </c>
      <c r="R179" s="216">
        <f>'850-Supermarket (ITE)'!G8</f>
        <v>2.6600000000000002E-2</v>
      </c>
      <c r="S179" s="133">
        <f>'857 - Discount Club (ITE)'!G8</f>
        <v>1E-3</v>
      </c>
      <c r="T179" s="267" t="s">
        <v>165</v>
      </c>
      <c r="U179" s="216" t="s">
        <v>165</v>
      </c>
      <c r="V179" s="133">
        <f>'932 - HTSD Restaurant (ITE)'!G8</f>
        <v>3.1600000000000003E-2</v>
      </c>
      <c r="W179" s="216">
        <f>'934 - Fast-Food w Drive (ITE)'!G8</f>
        <v>9.300000000000001E-3</v>
      </c>
      <c r="X179" s="216" t="s">
        <v>165</v>
      </c>
      <c r="Y179" s="216" t="s">
        <v>165</v>
      </c>
      <c r="Z179" s="216" t="s">
        <v>165</v>
      </c>
    </row>
    <row r="180" spans="1:26" x14ac:dyDescent="0.2">
      <c r="A180" s="129" t="s">
        <v>28</v>
      </c>
      <c r="B180" s="214" t="s">
        <v>165</v>
      </c>
      <c r="C180" s="214" t="s">
        <v>165</v>
      </c>
      <c r="D180" s="216" t="s">
        <v>165</v>
      </c>
      <c r="E180" s="216">
        <f>'210-Single Family (ITE)'!G9</f>
        <v>5.8000000000000005E-3</v>
      </c>
      <c r="F180" s="216" t="s">
        <v>165</v>
      </c>
      <c r="G180" s="133">
        <f>'430 - Golf Course (ITE)'!G9</f>
        <v>7.2999999999999995E-2</v>
      </c>
      <c r="H180" s="216" t="s">
        <v>165</v>
      </c>
      <c r="I180" s="216" t="s">
        <v>165</v>
      </c>
      <c r="J180" s="216" t="s">
        <v>165</v>
      </c>
      <c r="K180" s="133">
        <f>'565 - Day Care (ITE)'!G9</f>
        <v>4.4999999999999998E-2</v>
      </c>
      <c r="L180" s="216" t="s">
        <v>165</v>
      </c>
      <c r="M180" s="216" t="s">
        <v>165</v>
      </c>
      <c r="N180" s="133">
        <f>'813 - Discount Superstore (ITE)'!G9</f>
        <v>2.2100000000000002E-2</v>
      </c>
      <c r="O180" s="216">
        <f>'815 - Discount Store (ITE)'!G9</f>
        <v>0</v>
      </c>
      <c r="P180" s="133">
        <f>'820 - Shopping Center (ITE)'!G9</f>
        <v>8.9999999999999993E-3</v>
      </c>
      <c r="Q180" s="216" t="s">
        <v>165</v>
      </c>
      <c r="R180" s="216">
        <f>'850-Supermarket (ITE)'!G9</f>
        <v>4.24E-2</v>
      </c>
      <c r="S180" s="133">
        <f>'857 - Discount Club (ITE)'!G9</f>
        <v>0</v>
      </c>
      <c r="T180" s="216">
        <f>'862-Home Improvement (ITE)'!G9</f>
        <v>5.45E-2</v>
      </c>
      <c r="U180" s="216" t="s">
        <v>165</v>
      </c>
      <c r="V180" s="133">
        <f>'932 - HTSD Restaurant (ITE)'!G9</f>
        <v>8.5000000000000006E-2</v>
      </c>
      <c r="W180" s="216">
        <f>'934 - Fast-Food w Drive (ITE)'!G9</f>
        <v>9.300000000000001E-3</v>
      </c>
      <c r="X180" s="216" t="s">
        <v>165</v>
      </c>
      <c r="Y180" s="216" t="s">
        <v>165</v>
      </c>
      <c r="Z180" s="216" t="s">
        <v>165</v>
      </c>
    </row>
    <row r="181" spans="1:26" x14ac:dyDescent="0.2">
      <c r="A181" s="129" t="s">
        <v>29</v>
      </c>
      <c r="B181" s="214" t="s">
        <v>165</v>
      </c>
      <c r="C181" s="214" t="s">
        <v>165</v>
      </c>
      <c r="D181" s="216" t="s">
        <v>165</v>
      </c>
      <c r="E181" s="216">
        <f>'210-Single Family (ITE)'!G10</f>
        <v>3.5099999999999999E-2</v>
      </c>
      <c r="F181" s="216" t="s">
        <v>165</v>
      </c>
      <c r="G181" s="133">
        <f>'430 - Golf Course (ITE)'!G10</f>
        <v>0.08</v>
      </c>
      <c r="H181" s="216" t="s">
        <v>165</v>
      </c>
      <c r="I181" s="216" t="s">
        <v>165</v>
      </c>
      <c r="J181" s="216" t="s">
        <v>165</v>
      </c>
      <c r="K181" s="133">
        <f>'565 - Day Care (ITE)'!G10</f>
        <v>9.0999999999999998E-2</v>
      </c>
      <c r="L181" s="216" t="s">
        <v>165</v>
      </c>
      <c r="M181" s="216" t="s">
        <v>165</v>
      </c>
      <c r="N181" s="133">
        <f>'813 - Discount Superstore (ITE)'!G10</f>
        <v>3.5799999999999998E-2</v>
      </c>
      <c r="O181" s="216">
        <f>'815 - Discount Store (ITE)'!G10</f>
        <v>1.5000000000000001E-2</v>
      </c>
      <c r="P181" s="133">
        <f>'820 - Shopping Center (ITE)'!G10</f>
        <v>1.7000000000000001E-2</v>
      </c>
      <c r="Q181" s="216" t="s">
        <v>165</v>
      </c>
      <c r="R181" s="216">
        <f>'850-Supermarket (ITE)'!G10</f>
        <v>5.62E-2</v>
      </c>
      <c r="S181" s="133">
        <f>'857 - Discount Club (ITE)'!G10</f>
        <v>4.0000000000000001E-3</v>
      </c>
      <c r="T181" s="216">
        <f>'862-Home Improvement (ITE)'!G10</f>
        <v>6.8199999999999997E-2</v>
      </c>
      <c r="U181" s="216" t="s">
        <v>165</v>
      </c>
      <c r="V181" s="133">
        <f>'932 - HTSD Restaurant (ITE)'!G10</f>
        <v>0.17230000000000001</v>
      </c>
      <c r="W181" s="216">
        <f>'934 - Fast-Food w Drive (ITE)'!G10</f>
        <v>2.5400000000000002E-2</v>
      </c>
      <c r="X181" s="216" t="s">
        <v>165</v>
      </c>
      <c r="Y181" s="216" t="s">
        <v>165</v>
      </c>
      <c r="Z181" s="216" t="s">
        <v>165</v>
      </c>
    </row>
    <row r="182" spans="1:26" x14ac:dyDescent="0.2">
      <c r="A182" s="129" t="s">
        <v>30</v>
      </c>
      <c r="B182" s="214" t="s">
        <v>165</v>
      </c>
      <c r="C182" s="214" t="s">
        <v>165</v>
      </c>
      <c r="D182" s="216" t="s">
        <v>165</v>
      </c>
      <c r="E182" s="216">
        <f>'210-Single Family (ITE)'!G11</f>
        <v>8.77E-2</v>
      </c>
      <c r="F182" s="216" t="s">
        <v>165</v>
      </c>
      <c r="G182" s="133">
        <f>'430 - Golf Course (ITE)'!G11</f>
        <v>7.6999999999999999E-2</v>
      </c>
      <c r="H182" s="216" t="s">
        <v>165</v>
      </c>
      <c r="I182" s="216" t="s">
        <v>165</v>
      </c>
      <c r="J182" s="216" t="s">
        <v>165</v>
      </c>
      <c r="K182" s="133">
        <f>'565 - Day Care (ITE)'!G11</f>
        <v>0.13600000000000001</v>
      </c>
      <c r="L182" s="216" t="s">
        <v>165</v>
      </c>
      <c r="M182" s="216" t="s">
        <v>165</v>
      </c>
      <c r="N182" s="133">
        <f>'813 - Discount Superstore (ITE)'!G11</f>
        <v>5.5500000000000001E-2</v>
      </c>
      <c r="O182" s="216">
        <f>'815 - Discount Store (ITE)'!G11</f>
        <v>4.6600000000000003E-2</v>
      </c>
      <c r="P182" s="133">
        <f>'820 - Shopping Center (ITE)'!G11</f>
        <v>3.7999999999999999E-2</v>
      </c>
      <c r="Q182" s="216" t="s">
        <v>165</v>
      </c>
      <c r="R182" s="216">
        <f>'850-Supermarket (ITE)'!G11</f>
        <v>9.1700000000000004E-2</v>
      </c>
      <c r="S182" s="133">
        <f>'857 - Discount Club (ITE)'!G11</f>
        <v>1.2999999999999999E-2</v>
      </c>
      <c r="T182" s="216">
        <f>'862-Home Improvement (ITE)'!G11</f>
        <v>9.0900000000000009E-2</v>
      </c>
      <c r="U182" s="216" t="s">
        <v>165</v>
      </c>
      <c r="V182" s="133">
        <f>'932 - HTSD Restaurant (ITE)'!G11</f>
        <v>0.1966</v>
      </c>
      <c r="W182" s="216">
        <f>'934 - Fast-Food w Drive (ITE)'!G11</f>
        <v>2.24E-2</v>
      </c>
      <c r="X182" s="216" t="s">
        <v>165</v>
      </c>
      <c r="Y182" s="216" t="s">
        <v>165</v>
      </c>
      <c r="Z182" s="216" t="s">
        <v>165</v>
      </c>
    </row>
    <row r="183" spans="1:26" x14ac:dyDescent="0.2">
      <c r="A183" s="129" t="s">
        <v>37</v>
      </c>
      <c r="B183" s="214" t="s">
        <v>165</v>
      </c>
      <c r="C183" s="214" t="s">
        <v>165</v>
      </c>
      <c r="D183" s="216" t="s">
        <v>165</v>
      </c>
      <c r="E183" s="216">
        <f>'210-Single Family (ITE)'!G12</f>
        <v>8.1900000000000001E-2</v>
      </c>
      <c r="F183" s="216" t="s">
        <v>165</v>
      </c>
      <c r="G183" s="133">
        <f>'430 - Golf Course (ITE)'!G12</f>
        <v>8.5000000000000006E-2</v>
      </c>
      <c r="H183" s="216" t="s">
        <v>165</v>
      </c>
      <c r="I183" s="216" t="s">
        <v>165</v>
      </c>
      <c r="J183" s="216" t="s">
        <v>165</v>
      </c>
      <c r="K183" s="133">
        <f>'565 - Day Care (ITE)'!G12</f>
        <v>4.4999999999999998E-2</v>
      </c>
      <c r="L183" s="216" t="s">
        <v>165</v>
      </c>
      <c r="M183" s="216" t="s">
        <v>165</v>
      </c>
      <c r="N183" s="133">
        <f>'813 - Discount Superstore (ITE)'!G12</f>
        <v>7.1900000000000006E-2</v>
      </c>
      <c r="O183" s="216">
        <f>'815 - Discount Store (ITE)'!G12</f>
        <v>0.12430000000000001</v>
      </c>
      <c r="P183" s="133">
        <f>'820 - Shopping Center (ITE)'!G12</f>
        <v>0.1</v>
      </c>
      <c r="Q183" s="216" t="s">
        <v>165</v>
      </c>
      <c r="R183" s="216">
        <f>'850-Supermarket (ITE)'!G12</f>
        <v>0.1144</v>
      </c>
      <c r="S183" s="133">
        <f>'857 - Discount Club (ITE)'!G12</f>
        <v>5.1999999999999998E-2</v>
      </c>
      <c r="T183" s="216">
        <f>'862-Home Improvement (ITE)'!G12</f>
        <v>9.6300000000000011E-2</v>
      </c>
      <c r="U183" s="216" t="s">
        <v>165</v>
      </c>
      <c r="V183" s="133">
        <f>'932 - HTSD Restaurant (ITE)'!G12</f>
        <v>0.16020000000000001</v>
      </c>
      <c r="W183" s="216">
        <f>'934 - Fast-Food w Drive (ITE)'!G12</f>
        <v>5.7000000000000002E-2</v>
      </c>
      <c r="X183" s="216" t="s">
        <v>165</v>
      </c>
      <c r="Y183" s="216" t="s">
        <v>165</v>
      </c>
      <c r="Z183" s="216" t="s">
        <v>165</v>
      </c>
    </row>
    <row r="184" spans="1:26" x14ac:dyDescent="0.2">
      <c r="A184" s="129" t="s">
        <v>31</v>
      </c>
      <c r="B184" s="214" t="s">
        <v>165</v>
      </c>
      <c r="C184" s="214" t="s">
        <v>165</v>
      </c>
      <c r="D184" s="216" t="s">
        <v>165</v>
      </c>
      <c r="E184" s="216">
        <f>'210-Single Family (ITE)'!G13</f>
        <v>0.1053</v>
      </c>
      <c r="F184" s="216" t="s">
        <v>165</v>
      </c>
      <c r="G184" s="133">
        <f>'430 - Golf Course (ITE)'!G13</f>
        <v>9.0999999999999998E-2</v>
      </c>
      <c r="H184" s="216" t="s">
        <v>165</v>
      </c>
      <c r="I184" s="216" t="s">
        <v>165</v>
      </c>
      <c r="J184" s="216" t="s">
        <v>165</v>
      </c>
      <c r="K184" s="133">
        <f>'565 - Day Care (ITE)'!G13</f>
        <v>9.0999999999999998E-2</v>
      </c>
      <c r="L184" s="216" t="s">
        <v>165</v>
      </c>
      <c r="M184" s="216" t="s">
        <v>165</v>
      </c>
      <c r="N184" s="133">
        <f>'813 - Discount Superstore (ITE)'!G13</f>
        <v>0.1037</v>
      </c>
      <c r="O184" s="216">
        <f>'815 - Discount Store (ITE)'!G13</f>
        <v>0.15870000000000001</v>
      </c>
      <c r="P184" s="133">
        <f>'820 - Shopping Center (ITE)'!G13</f>
        <v>0.151</v>
      </c>
      <c r="Q184" s="216" t="s">
        <v>165</v>
      </c>
      <c r="R184" s="216">
        <f>'850-Supermarket (ITE)'!G13</f>
        <v>0.10550000000000001</v>
      </c>
      <c r="S184" s="133">
        <f>'857 - Discount Club (ITE)'!G13</f>
        <v>0.18</v>
      </c>
      <c r="T184" s="216">
        <f>'862-Home Improvement (ITE)'!G13</f>
        <v>0.1168</v>
      </c>
      <c r="U184" s="216" t="s">
        <v>165</v>
      </c>
      <c r="V184" s="133">
        <f>'932 - HTSD Restaurant (ITE)'!G13</f>
        <v>0.11890000000000001</v>
      </c>
      <c r="W184" s="216">
        <f>'934 - Fast-Food w Drive (ITE)'!G13</f>
        <v>9.7300000000000011E-2</v>
      </c>
      <c r="X184" s="216" t="s">
        <v>165</v>
      </c>
      <c r="Y184" s="216" t="s">
        <v>165</v>
      </c>
      <c r="Z184" s="216" t="s">
        <v>165</v>
      </c>
    </row>
    <row r="185" spans="1:26" x14ac:dyDescent="0.2">
      <c r="A185" s="129" t="s">
        <v>32</v>
      </c>
      <c r="B185" s="214" t="s">
        <v>165</v>
      </c>
      <c r="C185" s="214" t="s">
        <v>165</v>
      </c>
      <c r="D185" s="216" t="s">
        <v>165</v>
      </c>
      <c r="E185" s="216">
        <f>'210-Single Family (ITE)'!G14</f>
        <v>0.1053</v>
      </c>
      <c r="F185" s="216" t="s">
        <v>165</v>
      </c>
      <c r="G185" s="133">
        <f>'430 - Golf Course (ITE)'!G14</f>
        <v>8.7999999999999995E-2</v>
      </c>
      <c r="H185" s="216" t="s">
        <v>165</v>
      </c>
      <c r="I185" s="216" t="s">
        <v>165</v>
      </c>
      <c r="J185" s="216" t="s">
        <v>165</v>
      </c>
      <c r="K185" s="133">
        <f>'565 - Day Care (ITE)'!G14</f>
        <v>0</v>
      </c>
      <c r="L185" s="216" t="s">
        <v>165</v>
      </c>
      <c r="M185" s="216" t="s">
        <v>165</v>
      </c>
      <c r="N185" s="133">
        <f>'813 - Discount Superstore (ITE)'!G14</f>
        <v>0.1048</v>
      </c>
      <c r="O185" s="216">
        <f>'815 - Discount Store (ITE)'!G14</f>
        <v>0.1326</v>
      </c>
      <c r="P185" s="133">
        <f>'820 - Shopping Center (ITE)'!G14</f>
        <v>0.16700000000000001</v>
      </c>
      <c r="Q185" s="216" t="s">
        <v>165</v>
      </c>
      <c r="R185" s="216">
        <f>'850-Supermarket (ITE)'!G14</f>
        <v>0.1134</v>
      </c>
      <c r="S185" s="133">
        <f>'857 - Discount Club (ITE)'!G14</f>
        <v>0.17199999999999999</v>
      </c>
      <c r="T185" s="216">
        <f>'862-Home Improvement (ITE)'!G14</f>
        <v>0.12000000000000001</v>
      </c>
      <c r="U185" s="216" t="s">
        <v>165</v>
      </c>
      <c r="V185" s="133">
        <f>'932 - HTSD Restaurant (ITE)'!G14</f>
        <v>4.6100000000000002E-2</v>
      </c>
      <c r="W185" s="216">
        <f>'934 - Fast-Food w Drive (ITE)'!G14</f>
        <v>8.72E-2</v>
      </c>
      <c r="X185" s="216" t="s">
        <v>165</v>
      </c>
      <c r="Y185" s="216" t="s">
        <v>165</v>
      </c>
      <c r="Z185" s="216" t="s">
        <v>165</v>
      </c>
    </row>
    <row r="186" spans="1:26" x14ac:dyDescent="0.2">
      <c r="A186" s="129" t="s">
        <v>33</v>
      </c>
      <c r="B186" s="214" t="s">
        <v>165</v>
      </c>
      <c r="C186" s="214" t="s">
        <v>165</v>
      </c>
      <c r="D186" s="216" t="s">
        <v>165</v>
      </c>
      <c r="E186" s="216">
        <f>'210-Single Family (ITE)'!G15</f>
        <v>5.8500000000000003E-2</v>
      </c>
      <c r="F186" s="216" t="s">
        <v>165</v>
      </c>
      <c r="G186" s="133">
        <f>'430 - Golf Course (ITE)'!G15</f>
        <v>7.3999999999999996E-2</v>
      </c>
      <c r="H186" s="216" t="s">
        <v>165</v>
      </c>
      <c r="I186" s="216" t="s">
        <v>165</v>
      </c>
      <c r="J186" s="216" t="s">
        <v>165</v>
      </c>
      <c r="K186" s="133">
        <f>'565 - Day Care (ITE)'!G15</f>
        <v>0</v>
      </c>
      <c r="L186" s="216" t="s">
        <v>165</v>
      </c>
      <c r="M186" s="216" t="s">
        <v>165</v>
      </c>
      <c r="N186" s="133">
        <f>'813 - Discount Superstore (ITE)'!G15</f>
        <v>9.5899999999999999E-2</v>
      </c>
      <c r="O186" s="216">
        <f>'815 - Discount Store (ITE)'!G15</f>
        <v>0.15890000000000001</v>
      </c>
      <c r="P186" s="133">
        <f>'820 - Shopping Center (ITE)'!G15</f>
        <v>0.158</v>
      </c>
      <c r="Q186" s="216" t="s">
        <v>165</v>
      </c>
      <c r="R186" s="216">
        <f>'850-Supermarket (ITE)'!G15</f>
        <v>0.1193</v>
      </c>
      <c r="S186" s="133">
        <f>'857 - Discount Club (ITE)'!G15</f>
        <v>0.20499999999999999</v>
      </c>
      <c r="T186" s="216">
        <f>'862-Home Improvement (ITE)'!G15</f>
        <v>0.1114</v>
      </c>
      <c r="U186" s="216" t="s">
        <v>165</v>
      </c>
      <c r="V186" s="133">
        <f>'932 - HTSD Restaurant (ITE)'!G15</f>
        <v>4.6100000000000002E-2</v>
      </c>
      <c r="W186" s="216">
        <f>'934 - Fast-Food w Drive (ITE)'!G15</f>
        <v>7.3800000000000004E-2</v>
      </c>
      <c r="X186" s="216" t="s">
        <v>165</v>
      </c>
      <c r="Y186" s="216" t="s">
        <v>165</v>
      </c>
      <c r="Z186" s="216" t="s">
        <v>165</v>
      </c>
    </row>
    <row r="187" spans="1:26" x14ac:dyDescent="0.2">
      <c r="A187" s="129" t="s">
        <v>34</v>
      </c>
      <c r="B187" s="214" t="s">
        <v>165</v>
      </c>
      <c r="C187" s="214" t="s">
        <v>165</v>
      </c>
      <c r="D187" s="216" t="s">
        <v>165</v>
      </c>
      <c r="E187" s="216">
        <f>'210-Single Family (ITE)'!G16</f>
        <v>5.8500000000000003E-2</v>
      </c>
      <c r="F187" s="216" t="s">
        <v>165</v>
      </c>
      <c r="G187" s="133">
        <f>'430 - Golf Course (ITE)'!G16</f>
        <v>7.6999999999999999E-2</v>
      </c>
      <c r="H187" s="216" t="s">
        <v>165</v>
      </c>
      <c r="I187" s="216" t="s">
        <v>165</v>
      </c>
      <c r="J187" s="216" t="s">
        <v>165</v>
      </c>
      <c r="K187" s="133">
        <f>'565 - Day Care (ITE)'!G16</f>
        <v>4.4999999999999998E-2</v>
      </c>
      <c r="L187" s="216" t="s">
        <v>165</v>
      </c>
      <c r="M187" s="216" t="s">
        <v>165</v>
      </c>
      <c r="N187" s="133">
        <f>'813 - Discount Superstore (ITE)'!G16</f>
        <v>9.4600000000000004E-2</v>
      </c>
      <c r="O187" s="216">
        <f>'815 - Discount Store (ITE)'!G16</f>
        <v>0.1507</v>
      </c>
      <c r="P187" s="133">
        <f>'820 - Shopping Center (ITE)'!G16</f>
        <v>0.13</v>
      </c>
      <c r="Q187" s="216" t="s">
        <v>165</v>
      </c>
      <c r="R187" s="216">
        <f>'850-Supermarket (ITE)'!G16</f>
        <v>9.6600000000000005E-2</v>
      </c>
      <c r="S187" s="133">
        <f>'857 - Discount Club (ITE)'!G16</f>
        <v>0.16600000000000001</v>
      </c>
      <c r="T187" s="216">
        <f>'862-Home Improvement (ITE)'!G16</f>
        <v>0.10600000000000001</v>
      </c>
      <c r="U187" s="216" t="s">
        <v>165</v>
      </c>
      <c r="V187" s="133">
        <f>'932 - HTSD Restaurant (ITE)'!G16</f>
        <v>1.46E-2</v>
      </c>
      <c r="W187" s="216">
        <f>'934 - Fast-Food w Drive (ITE)'!G16</f>
        <v>8.5000000000000006E-2</v>
      </c>
      <c r="X187" s="216" t="s">
        <v>165</v>
      </c>
      <c r="Y187" s="216" t="s">
        <v>165</v>
      </c>
      <c r="Z187" s="216" t="s">
        <v>165</v>
      </c>
    </row>
    <row r="188" spans="1:26" x14ac:dyDescent="0.2">
      <c r="A188" s="129" t="s">
        <v>35</v>
      </c>
      <c r="B188" s="214" t="s">
        <v>165</v>
      </c>
      <c r="C188" s="214" t="s">
        <v>165</v>
      </c>
      <c r="D188" s="216" t="s">
        <v>165</v>
      </c>
      <c r="E188" s="216">
        <f>'210-Single Family (ITE)'!G17</f>
        <v>8.1900000000000001E-2</v>
      </c>
      <c r="F188" s="216" t="s">
        <v>165</v>
      </c>
      <c r="G188" s="133">
        <f>'430 - Golf Course (ITE)'!G17</f>
        <v>0.06</v>
      </c>
      <c r="H188" s="216" t="s">
        <v>165</v>
      </c>
      <c r="I188" s="216" t="s">
        <v>165</v>
      </c>
      <c r="J188" s="216" t="s">
        <v>165</v>
      </c>
      <c r="K188" s="133">
        <f>'565 - Day Care (ITE)'!G17</f>
        <v>9.0999999999999998E-2</v>
      </c>
      <c r="L188" s="216" t="s">
        <v>165</v>
      </c>
      <c r="M188" s="216" t="s">
        <v>165</v>
      </c>
      <c r="N188" s="133">
        <f>'813 - Discount Superstore (ITE)'!G17</f>
        <v>8.3799999999999999E-2</v>
      </c>
      <c r="O188" s="216">
        <f>'815 - Discount Store (ITE)'!G17</f>
        <v>0.12690000000000001</v>
      </c>
      <c r="P188" s="133">
        <f>'820 - Shopping Center (ITE)'!G17</f>
        <v>9.4E-2</v>
      </c>
      <c r="Q188" s="216" t="s">
        <v>165</v>
      </c>
      <c r="R188" s="216">
        <f>'850-Supermarket (ITE)'!G17</f>
        <v>7.1000000000000008E-2</v>
      </c>
      <c r="S188" s="133">
        <f>'857 - Discount Club (ITE)'!G17</f>
        <v>0.127</v>
      </c>
      <c r="T188" s="216">
        <f>'862-Home Improvement (ITE)'!G17</f>
        <v>8.900000000000001E-2</v>
      </c>
      <c r="U188" s="216" t="s">
        <v>165</v>
      </c>
      <c r="V188" s="133">
        <f>'932 - HTSD Restaurant (ITE)'!G17</f>
        <v>1.7000000000000001E-2</v>
      </c>
      <c r="W188" s="216">
        <f>'934 - Fast-Food w Drive (ITE)'!G17</f>
        <v>8.4600000000000009E-2</v>
      </c>
      <c r="X188" s="216" t="s">
        <v>165</v>
      </c>
      <c r="Y188" s="216" t="s">
        <v>165</v>
      </c>
      <c r="Z188" s="216" t="s">
        <v>165</v>
      </c>
    </row>
    <row r="189" spans="1:26" x14ac:dyDescent="0.2">
      <c r="A189" s="129" t="s">
        <v>36</v>
      </c>
      <c r="B189" s="214" t="s">
        <v>165</v>
      </c>
      <c r="C189" s="214" t="s">
        <v>165</v>
      </c>
      <c r="D189" s="216" t="s">
        <v>165</v>
      </c>
      <c r="E189" s="216">
        <f>'210-Single Family (ITE)'!G18</f>
        <v>0.1111</v>
      </c>
      <c r="F189" s="216" t="s">
        <v>165</v>
      </c>
      <c r="G189" s="133">
        <f>'430 - Golf Course (ITE)'!G18</f>
        <v>4.8000000000000001E-2</v>
      </c>
      <c r="H189" s="216" t="s">
        <v>165</v>
      </c>
      <c r="I189" s="216" t="s">
        <v>165</v>
      </c>
      <c r="J189" s="216" t="s">
        <v>165</v>
      </c>
      <c r="K189" s="133">
        <f>'565 - Day Care (ITE)'!G18</f>
        <v>0.182</v>
      </c>
      <c r="L189" s="216" t="s">
        <v>165</v>
      </c>
      <c r="M189" s="216" t="s">
        <v>165</v>
      </c>
      <c r="N189" s="133">
        <f>'813 - Discount Superstore (ITE)'!G18</f>
        <v>7.4900000000000008E-2</v>
      </c>
      <c r="O189" s="216">
        <f>'815 - Discount Store (ITE)'!G18</f>
        <v>6.7799999999999999E-2</v>
      </c>
      <c r="P189" s="133">
        <f>'820 - Shopping Center (ITE)'!G18</f>
        <v>5.0999999999999997E-2</v>
      </c>
      <c r="Q189" s="216" t="s">
        <v>165</v>
      </c>
      <c r="R189" s="216">
        <f>'850-Supermarket (ITE)'!G18</f>
        <v>6.8000000000000005E-2</v>
      </c>
      <c r="S189" s="133">
        <f>'857 - Discount Club (ITE)'!G18</f>
        <v>0.05</v>
      </c>
      <c r="T189" s="216">
        <f>'862-Home Improvement (ITE)'!G18</f>
        <v>7.85E-2</v>
      </c>
      <c r="U189" s="216" t="s">
        <v>165</v>
      </c>
      <c r="V189" s="133">
        <f>'932 - HTSD Restaurant (ITE)'!G18</f>
        <v>1.46E-2</v>
      </c>
      <c r="W189" s="216">
        <f>'934 - Fast-Food w Drive (ITE)'!G18</f>
        <v>0.10700000000000001</v>
      </c>
      <c r="X189" s="216" t="s">
        <v>165</v>
      </c>
      <c r="Y189" s="216" t="s">
        <v>165</v>
      </c>
      <c r="Z189" s="216" t="s">
        <v>165</v>
      </c>
    </row>
    <row r="190" spans="1:26" x14ac:dyDescent="0.2">
      <c r="A190" s="204" t="s">
        <v>141</v>
      </c>
      <c r="B190" s="214" t="s">
        <v>165</v>
      </c>
      <c r="C190" s="214" t="s">
        <v>165</v>
      </c>
      <c r="D190" s="216" t="s">
        <v>165</v>
      </c>
      <c r="E190" s="216">
        <f>'210-Single Family (ITE)'!G19</f>
        <v>5.8500000000000003E-2</v>
      </c>
      <c r="F190" s="216" t="s">
        <v>165</v>
      </c>
      <c r="G190" s="133">
        <f>'430 - Golf Course (ITE)'!G19</f>
        <v>3.6999999999999998E-2</v>
      </c>
      <c r="H190" s="216" t="s">
        <v>165</v>
      </c>
      <c r="I190" s="216" t="s">
        <v>165</v>
      </c>
      <c r="J190" s="216" t="s">
        <v>165</v>
      </c>
      <c r="K190" s="133">
        <f>'565 - Day Care (ITE)'!G19</f>
        <v>0.13600000000000001</v>
      </c>
      <c r="L190" s="216" t="s">
        <v>165</v>
      </c>
      <c r="M190" s="216" t="s">
        <v>165</v>
      </c>
      <c r="N190" s="133">
        <f>'813 - Discount Superstore (ITE)'!G19</f>
        <v>6.5799999999999997E-2</v>
      </c>
      <c r="O190" s="216">
        <f>'815 - Discount Store (ITE)'!G19</f>
        <v>1.4400000000000001E-2</v>
      </c>
      <c r="P190" s="133">
        <f>'820 - Shopping Center (ITE)'!G19</f>
        <v>2.3E-2</v>
      </c>
      <c r="Q190" s="216" t="s">
        <v>165</v>
      </c>
      <c r="R190" s="216">
        <f>'850-Supermarket (ITE)'!G19</f>
        <v>4.9300000000000004E-2</v>
      </c>
      <c r="S190" s="133">
        <f>'857 - Discount Club (ITE)'!G19</f>
        <v>1.7000000000000001E-2</v>
      </c>
      <c r="T190" s="216">
        <f>'862-Home Improvement (ITE)'!G19</f>
        <v>6.2300000000000001E-2</v>
      </c>
      <c r="U190" s="216" t="s">
        <v>165</v>
      </c>
      <c r="V190" s="133">
        <f>'932 - HTSD Restaurant (ITE)'!G19</f>
        <v>2.18E-2</v>
      </c>
      <c r="W190" s="216">
        <f>'934 - Fast-Food w Drive (ITE)'!G19</f>
        <v>0.1037</v>
      </c>
      <c r="X190" s="216" t="s">
        <v>165</v>
      </c>
      <c r="Y190" s="216" t="s">
        <v>165</v>
      </c>
      <c r="Z190" s="216" t="s">
        <v>165</v>
      </c>
    </row>
    <row r="191" spans="1:26" x14ac:dyDescent="0.2">
      <c r="A191" s="205" t="s">
        <v>142</v>
      </c>
      <c r="B191" s="214" t="s">
        <v>165</v>
      </c>
      <c r="C191" s="214" t="s">
        <v>165</v>
      </c>
      <c r="D191" s="216" t="s">
        <v>165</v>
      </c>
      <c r="E191" s="216">
        <f>'210-Single Family (ITE)'!G20</f>
        <v>7.0199999999999999E-2</v>
      </c>
      <c r="F191" s="216" t="s">
        <v>165</v>
      </c>
      <c r="G191" s="133">
        <f>'430 - Golf Course (ITE)'!G20</f>
        <v>2.1000000000000001E-2</v>
      </c>
      <c r="H191" s="216" t="s">
        <v>165</v>
      </c>
      <c r="I191" s="216" t="s">
        <v>165</v>
      </c>
      <c r="J191" s="216" t="s">
        <v>165</v>
      </c>
      <c r="K191" s="133">
        <f>'565 - Day Care (ITE)'!G20</f>
        <v>4.4999999999999998E-2</v>
      </c>
      <c r="L191" s="216" t="s">
        <v>165</v>
      </c>
      <c r="M191" s="216" t="s">
        <v>165</v>
      </c>
      <c r="N191" s="133">
        <f>'813 - Discount Superstore (ITE)'!G20</f>
        <v>5.0900000000000001E-2</v>
      </c>
      <c r="O191" s="216">
        <f>'815 - Discount Store (ITE)'!G20</f>
        <v>3.9000000000000003E-3</v>
      </c>
      <c r="P191" s="133">
        <f>'820 - Shopping Center (ITE)'!G20</f>
        <v>1.7000000000000001E-2</v>
      </c>
      <c r="Q191" s="216" t="s">
        <v>165</v>
      </c>
      <c r="R191" s="216">
        <f>'850-Supermarket (ITE)'!G20</f>
        <v>2.3700000000000002E-2</v>
      </c>
      <c r="S191" s="133">
        <f>'857 - Discount Club (ITE)'!G20</f>
        <v>3.0000000000000001E-3</v>
      </c>
      <c r="T191" s="267" t="s">
        <v>165</v>
      </c>
      <c r="U191" s="216" t="s">
        <v>165</v>
      </c>
      <c r="V191" s="133">
        <f>'932 - HTSD Restaurant (ITE)'!G20</f>
        <v>3.1600000000000003E-2</v>
      </c>
      <c r="W191" s="216">
        <f>'934 - Fast-Food w Drive (ITE)'!G20</f>
        <v>0.1048</v>
      </c>
      <c r="X191" s="216" t="s">
        <v>165</v>
      </c>
      <c r="Y191" s="216" t="s">
        <v>165</v>
      </c>
      <c r="Z191" s="216" t="s">
        <v>165</v>
      </c>
    </row>
    <row r="192" spans="1:26" x14ac:dyDescent="0.2">
      <c r="A192" s="205" t="s">
        <v>160</v>
      </c>
      <c r="B192" s="214" t="s">
        <v>165</v>
      </c>
      <c r="C192" s="214" t="s">
        <v>165</v>
      </c>
      <c r="D192" s="216" t="s">
        <v>165</v>
      </c>
      <c r="E192" s="216">
        <f>'210-Single Family (ITE)'!G21</f>
        <v>5.8500000000000003E-2</v>
      </c>
      <c r="F192" s="216" t="s">
        <v>165</v>
      </c>
      <c r="G192" s="133">
        <f>'430 - Golf Course (ITE)'!G21</f>
        <v>8.9999999999999993E-3</v>
      </c>
      <c r="H192" s="216" t="s">
        <v>165</v>
      </c>
      <c r="I192" s="216" t="s">
        <v>165</v>
      </c>
      <c r="J192" s="216" t="s">
        <v>165</v>
      </c>
      <c r="K192" s="133">
        <f>'565 - Day Care (ITE)'!G21</f>
        <v>0</v>
      </c>
      <c r="L192" s="216" t="s">
        <v>165</v>
      </c>
      <c r="M192" s="216" t="s">
        <v>165</v>
      </c>
      <c r="N192" s="133">
        <f>'813 - Discount Superstore (ITE)'!G21</f>
        <v>4.1500000000000002E-2</v>
      </c>
      <c r="O192" s="216">
        <f>'815 - Discount Store (ITE)'!G21</f>
        <v>0</v>
      </c>
      <c r="P192" s="133">
        <f>'820 - Shopping Center (ITE)'!G21</f>
        <v>1.0999999999999999E-2</v>
      </c>
      <c r="Q192" s="216" t="s">
        <v>165</v>
      </c>
      <c r="R192" s="216">
        <f>'850-Supermarket (ITE)'!G21</f>
        <v>2E-3</v>
      </c>
      <c r="S192" s="133">
        <f>'857 - Discount Club (ITE)'!G21</f>
        <v>3.0000000000000001E-3</v>
      </c>
      <c r="T192" s="267" t="s">
        <v>165</v>
      </c>
      <c r="U192" s="216" t="s">
        <v>165</v>
      </c>
      <c r="V192" s="133">
        <f>'932 - HTSD Restaurant (ITE)'!G21</f>
        <v>9.7000000000000003E-3</v>
      </c>
      <c r="W192" s="216">
        <f>'934 - Fast-Food w Drive (ITE)'!G21</f>
        <v>7.0500000000000007E-2</v>
      </c>
      <c r="X192" s="216" t="s">
        <v>165</v>
      </c>
      <c r="Y192" s="216" t="s">
        <v>165</v>
      </c>
      <c r="Z192" s="216" t="s">
        <v>165</v>
      </c>
    </row>
    <row r="193" spans="1:26" x14ac:dyDescent="0.2">
      <c r="A193" s="205" t="s">
        <v>161</v>
      </c>
      <c r="B193" s="214" t="s">
        <v>165</v>
      </c>
      <c r="C193" s="214" t="s">
        <v>165</v>
      </c>
      <c r="D193" s="216" t="s">
        <v>165</v>
      </c>
      <c r="E193" s="216">
        <f>'210-Single Family (ITE)'!G22</f>
        <v>5.8000000000000005E-3</v>
      </c>
      <c r="F193" s="216" t="s">
        <v>165</v>
      </c>
      <c r="G193" s="133">
        <f>'430 - Golf Course (ITE)'!G22</f>
        <v>2E-3</v>
      </c>
      <c r="H193" s="216" t="s">
        <v>165</v>
      </c>
      <c r="I193" s="216" t="s">
        <v>165</v>
      </c>
      <c r="J193" s="216" t="s">
        <v>165</v>
      </c>
      <c r="K193" s="133">
        <f>'565 - Day Care (ITE)'!G22</f>
        <v>9.0999999999999998E-2</v>
      </c>
      <c r="L193" s="216" t="s">
        <v>165</v>
      </c>
      <c r="M193" s="216" t="s">
        <v>165</v>
      </c>
      <c r="N193" s="133">
        <f>'813 - Discount Superstore (ITE)'!G22</f>
        <v>3.15E-2</v>
      </c>
      <c r="O193" s="216">
        <f>'815 - Discount Store (ITE)'!G22</f>
        <v>0</v>
      </c>
      <c r="P193" s="133">
        <f>'820 - Shopping Center (ITE)'!G22</f>
        <v>7.0000000000000001E-3</v>
      </c>
      <c r="Q193" s="216" t="s">
        <v>165</v>
      </c>
      <c r="R193" s="216">
        <f>'850-Supermarket (ITE)'!G22</f>
        <v>2E-3</v>
      </c>
      <c r="S193" s="133">
        <f>'857 - Discount Club (ITE)'!G22</f>
        <v>1E-3</v>
      </c>
      <c r="T193" s="267" t="s">
        <v>165</v>
      </c>
      <c r="U193" s="216" t="s">
        <v>165</v>
      </c>
      <c r="V193" s="133">
        <f>'932 - HTSD Restaurant (ITE)'!G22</f>
        <v>7.3000000000000001E-3</v>
      </c>
      <c r="W193" s="216">
        <f>'934 - Fast-Food w Drive (ITE)'!G22</f>
        <v>3.6500000000000005E-2</v>
      </c>
      <c r="X193" s="216" t="s">
        <v>165</v>
      </c>
      <c r="Y193" s="216" t="s">
        <v>165</v>
      </c>
      <c r="Z193" s="216" t="s">
        <v>165</v>
      </c>
    </row>
    <row r="194" spans="1:26" x14ac:dyDescent="0.2">
      <c r="A194" s="204" t="s">
        <v>186</v>
      </c>
      <c r="B194" s="214" t="s">
        <v>165</v>
      </c>
      <c r="C194" s="214" t="s">
        <v>165</v>
      </c>
      <c r="D194" s="216" t="s">
        <v>165</v>
      </c>
      <c r="E194" s="216">
        <f>'210-Single Family (ITE)'!G23</f>
        <v>5.2600000000000001E-2</v>
      </c>
      <c r="F194" s="216" t="s">
        <v>165</v>
      </c>
      <c r="G194" s="133">
        <f>'430 - Golf Course (ITE)'!G23</f>
        <v>5.3999999999999999E-2</v>
      </c>
      <c r="H194" s="216" t="s">
        <v>165</v>
      </c>
      <c r="I194" s="216" t="s">
        <v>165</v>
      </c>
      <c r="J194" s="216" t="s">
        <v>165</v>
      </c>
      <c r="K194" s="133">
        <f>'565 - Day Care (ITE)'!G23</f>
        <v>0</v>
      </c>
      <c r="L194" s="216" t="s">
        <v>165</v>
      </c>
      <c r="M194" s="216" t="s">
        <v>165</v>
      </c>
      <c r="N194" s="133">
        <f>'813 - Discount Superstore (ITE)'!G23</f>
        <v>4.2300000000000004E-2</v>
      </c>
      <c r="O194" s="216">
        <f>'815 - Discount Store (ITE)'!G23</f>
        <v>0</v>
      </c>
      <c r="P194" s="133">
        <f>'820 - Shopping Center (ITE)'!G23</f>
        <v>2.1000000000000001E-2</v>
      </c>
      <c r="Q194" s="216" t="s">
        <v>165</v>
      </c>
      <c r="R194" s="216">
        <f>'850-Supermarket (ITE)'!G23</f>
        <v>6.9000000000000008E-3</v>
      </c>
      <c r="S194" s="133">
        <f>'857 - Discount Club (ITE)'!G23</f>
        <v>4.0000000000000001E-3</v>
      </c>
      <c r="T194" s="267" t="s">
        <v>165</v>
      </c>
      <c r="U194" s="216" t="s">
        <v>165</v>
      </c>
      <c r="V194" s="133">
        <f>'932 - HTSD Restaurant (ITE)'!G23</f>
        <v>1.9400000000000001E-2</v>
      </c>
      <c r="W194" s="216">
        <f>'934 - Fast-Food w Drive (ITE)'!G23</f>
        <v>2.0500000000000001E-2</v>
      </c>
      <c r="X194" s="216" t="s">
        <v>165</v>
      </c>
      <c r="Y194" s="216" t="s">
        <v>165</v>
      </c>
      <c r="Z194" s="216" t="s">
        <v>165</v>
      </c>
    </row>
    <row r="195" spans="1:26" x14ac:dyDescent="0.2">
      <c r="B195" s="221"/>
    </row>
    <row r="196" spans="1:26" x14ac:dyDescent="0.2">
      <c r="B196" s="219" t="s">
        <v>39</v>
      </c>
      <c r="C196" s="219" t="s">
        <v>39</v>
      </c>
      <c r="D196" s="219" t="s">
        <v>39</v>
      </c>
      <c r="E196" s="219" t="s">
        <v>39</v>
      </c>
      <c r="F196" s="219" t="s">
        <v>39</v>
      </c>
      <c r="G196" s="219" t="s">
        <v>39</v>
      </c>
      <c r="H196" s="219" t="s">
        <v>39</v>
      </c>
      <c r="I196" s="219" t="s">
        <v>39</v>
      </c>
      <c r="J196" s="219" t="s">
        <v>39</v>
      </c>
      <c r="K196" s="219" t="s">
        <v>39</v>
      </c>
      <c r="L196" s="219" t="s">
        <v>39</v>
      </c>
      <c r="M196" s="219" t="s">
        <v>39</v>
      </c>
      <c r="N196" s="219" t="s">
        <v>39</v>
      </c>
      <c r="O196" s="219" t="s">
        <v>39</v>
      </c>
      <c r="P196" s="219" t="s">
        <v>39</v>
      </c>
      <c r="Q196" s="219" t="s">
        <v>39</v>
      </c>
      <c r="R196" s="219" t="s">
        <v>39</v>
      </c>
      <c r="S196" s="219" t="s">
        <v>39</v>
      </c>
      <c r="T196" s="219" t="s">
        <v>39</v>
      </c>
      <c r="U196" s="219" t="s">
        <v>39</v>
      </c>
      <c r="V196" s="219" t="s">
        <v>39</v>
      </c>
      <c r="W196" s="219" t="s">
        <v>39</v>
      </c>
      <c r="X196" s="219" t="s">
        <v>39</v>
      </c>
      <c r="Y196" s="219" t="s">
        <v>39</v>
      </c>
      <c r="Z196" s="219" t="s">
        <v>39</v>
      </c>
    </row>
    <row r="197" spans="1:26" x14ac:dyDescent="0.2">
      <c r="A197" s="129" t="s">
        <v>26</v>
      </c>
      <c r="B197" s="217" t="s">
        <v>165</v>
      </c>
      <c r="C197" s="217" t="s">
        <v>165</v>
      </c>
      <c r="D197" s="216" t="s">
        <v>165</v>
      </c>
      <c r="E197" s="216">
        <f>'210-Single Family (ITE)'!H7</f>
        <v>1.2E-2</v>
      </c>
      <c r="F197" s="216" t="s">
        <v>165</v>
      </c>
      <c r="G197" s="133">
        <f>'430 - Golf Course (ITE)'!H7</f>
        <v>6.0000000000000001E-3</v>
      </c>
      <c r="H197" s="216" t="s">
        <v>165</v>
      </c>
      <c r="I197" s="216" t="s">
        <v>165</v>
      </c>
      <c r="J197" s="216" t="s">
        <v>165</v>
      </c>
      <c r="K197" s="133">
        <f>'565 - Day Care (ITE)'!H7</f>
        <v>0</v>
      </c>
      <c r="L197" s="216" t="s">
        <v>165</v>
      </c>
      <c r="M197" s="216" t="s">
        <v>165</v>
      </c>
      <c r="N197" s="133">
        <f>'813 - Discount Superstore (ITE)'!H7</f>
        <v>4.5999999999999999E-3</v>
      </c>
      <c r="O197" s="216">
        <f>'815 - Discount Store (ITE)'!H7</f>
        <v>0</v>
      </c>
      <c r="P197" s="133">
        <f>'820 - Shopping Center (ITE)'!H7</f>
        <v>1E-3</v>
      </c>
      <c r="Q197" s="216" t="s">
        <v>165</v>
      </c>
      <c r="R197" s="216">
        <f>'850-Supermarket (ITE)'!H7</f>
        <v>3.0000000000000001E-3</v>
      </c>
      <c r="S197" s="133">
        <f>'857 - Discount Club (ITE)'!H7</f>
        <v>1E-3</v>
      </c>
      <c r="T197" s="267" t="s">
        <v>165</v>
      </c>
      <c r="U197" s="216" t="s">
        <v>165</v>
      </c>
      <c r="V197" s="133">
        <f>'932 - HTSD Restaurant (ITE)'!H7</f>
        <v>2.4000000000000002E-3</v>
      </c>
      <c r="W197" s="216">
        <f>'934 - Fast-Food w Drive (ITE)'!H7</f>
        <v>3.7000000000000002E-3</v>
      </c>
      <c r="X197" s="216" t="s">
        <v>165</v>
      </c>
      <c r="Y197" s="216" t="s">
        <v>165</v>
      </c>
      <c r="Z197" s="213" t="s">
        <v>165</v>
      </c>
    </row>
    <row r="198" spans="1:26" x14ac:dyDescent="0.2">
      <c r="A198" s="129" t="s">
        <v>27</v>
      </c>
      <c r="B198" s="217" t="s">
        <v>165</v>
      </c>
      <c r="C198" s="217" t="s">
        <v>165</v>
      </c>
      <c r="D198" s="216" t="s">
        <v>165</v>
      </c>
      <c r="E198" s="216">
        <f>'210-Single Family (ITE)'!H8</f>
        <v>2.9900000000000003E-2</v>
      </c>
      <c r="F198" s="216" t="s">
        <v>165</v>
      </c>
      <c r="G198" s="133">
        <f>'430 - Golf Course (ITE)'!H8</f>
        <v>8.0000000000000002E-3</v>
      </c>
      <c r="H198" s="216" t="s">
        <v>165</v>
      </c>
      <c r="I198" s="216" t="s">
        <v>165</v>
      </c>
      <c r="J198" s="216" t="s">
        <v>165</v>
      </c>
      <c r="K198" s="133">
        <f>'565 - Day Care (ITE)'!H8</f>
        <v>0</v>
      </c>
      <c r="L198" s="216" t="s">
        <v>165</v>
      </c>
      <c r="M198" s="216" t="s">
        <v>165</v>
      </c>
      <c r="N198" s="133">
        <f>'813 - Discount Superstore (ITE)'!H8</f>
        <v>1.6400000000000001E-2</v>
      </c>
      <c r="O198" s="216">
        <f>'815 - Discount Store (ITE)'!H8</f>
        <v>0</v>
      </c>
      <c r="P198" s="133">
        <f>'820 - Shopping Center (ITE)'!H8</f>
        <v>3.0000000000000001E-3</v>
      </c>
      <c r="Q198" s="216" t="s">
        <v>165</v>
      </c>
      <c r="R198" s="216">
        <f>'850-Supermarket (ITE)'!H8</f>
        <v>1.67E-2</v>
      </c>
      <c r="S198" s="133">
        <f>'857 - Discount Club (ITE)'!H8</f>
        <v>3.0000000000000001E-3</v>
      </c>
      <c r="T198" s="267" t="s">
        <v>165</v>
      </c>
      <c r="U198" s="216" t="s">
        <v>165</v>
      </c>
      <c r="V198" s="133">
        <f>'932 - HTSD Restaurant (ITE)'!H8</f>
        <v>1.43E-2</v>
      </c>
      <c r="W198" s="216">
        <f>'934 - Fast-Food w Drive (ITE)'!H8</f>
        <v>7.1000000000000004E-3</v>
      </c>
      <c r="X198" s="216" t="s">
        <v>165</v>
      </c>
      <c r="Y198" s="216" t="s">
        <v>165</v>
      </c>
      <c r="Z198" s="213" t="s">
        <v>165</v>
      </c>
    </row>
    <row r="199" spans="1:26" x14ac:dyDescent="0.2">
      <c r="A199" s="129" t="s">
        <v>28</v>
      </c>
      <c r="B199" s="217" t="s">
        <v>165</v>
      </c>
      <c r="C199" s="217" t="s">
        <v>165</v>
      </c>
      <c r="D199" s="216" t="s">
        <v>165</v>
      </c>
      <c r="E199" s="216">
        <f>'210-Single Family (ITE)'!H9</f>
        <v>8.9800000000000005E-2</v>
      </c>
      <c r="F199" s="216" t="s">
        <v>165</v>
      </c>
      <c r="G199" s="133">
        <f>'430 - Golf Course (ITE)'!H9</f>
        <v>2.4E-2</v>
      </c>
      <c r="H199" s="216" t="s">
        <v>165</v>
      </c>
      <c r="I199" s="216" t="s">
        <v>165</v>
      </c>
      <c r="J199" s="216" t="s">
        <v>165</v>
      </c>
      <c r="K199" s="133">
        <f>'565 - Day Care (ITE)'!H9</f>
        <v>0.05</v>
      </c>
      <c r="L199" s="216" t="s">
        <v>165</v>
      </c>
      <c r="M199" s="216" t="s">
        <v>165</v>
      </c>
      <c r="N199" s="133">
        <f>'813 - Discount Superstore (ITE)'!H9</f>
        <v>1.61E-2</v>
      </c>
      <c r="O199" s="216">
        <f>'815 - Discount Store (ITE)'!H9</f>
        <v>0</v>
      </c>
      <c r="P199" s="133">
        <f>'820 - Shopping Center (ITE)'!H9</f>
        <v>5.0000000000000001E-3</v>
      </c>
      <c r="Q199" s="216" t="s">
        <v>165</v>
      </c>
      <c r="R199" s="216">
        <f>'850-Supermarket (ITE)'!H9</f>
        <v>3.0500000000000003E-2</v>
      </c>
      <c r="S199" s="133">
        <f>'857 - Discount Club (ITE)'!H9</f>
        <v>0</v>
      </c>
      <c r="T199" s="216">
        <f>'862-Home Improvement (ITE)'!H9</f>
        <v>3.2000000000000001E-2</v>
      </c>
      <c r="U199" s="216" t="s">
        <v>165</v>
      </c>
      <c r="V199" s="133">
        <f>'932 - HTSD Restaurant (ITE)'!H9</f>
        <v>1.67E-2</v>
      </c>
      <c r="W199" s="216">
        <f>'934 - Fast-Food w Drive (ITE)'!H9</f>
        <v>7.1000000000000004E-3</v>
      </c>
      <c r="X199" s="216" t="s">
        <v>165</v>
      </c>
      <c r="Y199" s="216" t="s">
        <v>165</v>
      </c>
      <c r="Z199" s="213" t="s">
        <v>165</v>
      </c>
    </row>
    <row r="200" spans="1:26" x14ac:dyDescent="0.2">
      <c r="A200" s="129" t="s">
        <v>29</v>
      </c>
      <c r="B200" s="217" t="s">
        <v>165</v>
      </c>
      <c r="C200" s="217" t="s">
        <v>165</v>
      </c>
      <c r="D200" s="216" t="s">
        <v>165</v>
      </c>
      <c r="E200" s="216">
        <f>'210-Single Family (ITE)'!H10</f>
        <v>5.9900000000000002E-2</v>
      </c>
      <c r="F200" s="216" t="s">
        <v>165</v>
      </c>
      <c r="G200" s="133">
        <f>'430 - Golf Course (ITE)'!H10</f>
        <v>3.5000000000000003E-2</v>
      </c>
      <c r="H200" s="216" t="s">
        <v>165</v>
      </c>
      <c r="I200" s="216" t="s">
        <v>165</v>
      </c>
      <c r="J200" s="216" t="s">
        <v>165</v>
      </c>
      <c r="K200" s="133">
        <f>'565 - Day Care (ITE)'!H10</f>
        <v>0</v>
      </c>
      <c r="L200" s="216" t="s">
        <v>165</v>
      </c>
      <c r="M200" s="216" t="s">
        <v>165</v>
      </c>
      <c r="N200" s="133">
        <f>'813 - Discount Superstore (ITE)'!H10</f>
        <v>2.7700000000000002E-2</v>
      </c>
      <c r="O200" s="216">
        <f>'815 - Discount Store (ITE)'!H10</f>
        <v>7.6E-3</v>
      </c>
      <c r="P200" s="133">
        <f>'820 - Shopping Center (ITE)'!H10</f>
        <v>1.0999999999999999E-2</v>
      </c>
      <c r="Q200" s="216" t="s">
        <v>165</v>
      </c>
      <c r="R200" s="216">
        <f>'850-Supermarket (ITE)'!H10</f>
        <v>5.0200000000000002E-2</v>
      </c>
      <c r="S200" s="133">
        <f>'857 - Discount Club (ITE)'!H10</f>
        <v>3.0000000000000001E-3</v>
      </c>
      <c r="T200" s="216">
        <f>'862-Home Improvement (ITE)'!H10</f>
        <v>6.1500000000000006E-2</v>
      </c>
      <c r="U200" s="216" t="s">
        <v>165</v>
      </c>
      <c r="V200" s="133">
        <f>'932 - HTSD Restaurant (ITE)'!H10</f>
        <v>8.8099999999999998E-2</v>
      </c>
      <c r="W200" s="216">
        <f>'934 - Fast-Food w Drive (ITE)'!H10</f>
        <v>1.72E-2</v>
      </c>
      <c r="X200" s="216" t="s">
        <v>165</v>
      </c>
      <c r="Y200" s="216" t="s">
        <v>165</v>
      </c>
      <c r="Z200" s="213" t="s">
        <v>165</v>
      </c>
    </row>
    <row r="201" spans="1:26" x14ac:dyDescent="0.2">
      <c r="A201" s="129" t="s">
        <v>30</v>
      </c>
      <c r="B201" s="217" t="s">
        <v>165</v>
      </c>
      <c r="C201" s="217" t="s">
        <v>165</v>
      </c>
      <c r="D201" s="216" t="s">
        <v>165</v>
      </c>
      <c r="E201" s="216">
        <f>'210-Single Family (ITE)'!H11</f>
        <v>0.14369999999999999</v>
      </c>
      <c r="F201" s="216" t="s">
        <v>165</v>
      </c>
      <c r="G201" s="133">
        <f>'430 - Golf Course (ITE)'!H11</f>
        <v>7.3999999999999996E-2</v>
      </c>
      <c r="H201" s="216" t="s">
        <v>165</v>
      </c>
      <c r="I201" s="216" t="s">
        <v>165</v>
      </c>
      <c r="J201" s="216" t="s">
        <v>165</v>
      </c>
      <c r="K201" s="133">
        <f>'565 - Day Care (ITE)'!H11</f>
        <v>0.1</v>
      </c>
      <c r="L201" s="216" t="s">
        <v>165</v>
      </c>
      <c r="M201" s="216" t="s">
        <v>165</v>
      </c>
      <c r="N201" s="133">
        <f>'813 - Discount Superstore (ITE)'!H11</f>
        <v>3.9300000000000002E-2</v>
      </c>
      <c r="O201" s="216">
        <f>'815 - Discount Store (ITE)'!H11</f>
        <v>2.7600000000000003E-2</v>
      </c>
      <c r="P201" s="133">
        <f>'820 - Shopping Center (ITE)'!H11</f>
        <v>2.5000000000000001E-2</v>
      </c>
      <c r="Q201" s="216" t="s">
        <v>165</v>
      </c>
      <c r="R201" s="216">
        <f>'850-Supermarket (ITE)'!H11</f>
        <v>6.2E-2</v>
      </c>
      <c r="S201" s="133">
        <f>'857 - Discount Club (ITE)'!H11</f>
        <v>2.3E-2</v>
      </c>
      <c r="T201" s="216">
        <f>'862-Home Improvement (ITE)'!H11</f>
        <v>7.5600000000000001E-2</v>
      </c>
      <c r="U201" s="216" t="s">
        <v>165</v>
      </c>
      <c r="V201" s="133">
        <f>'932 - HTSD Restaurant (ITE)'!H11</f>
        <v>0.1976</v>
      </c>
      <c r="W201" s="216">
        <f>'934 - Fast-Food w Drive (ITE)'!H11</f>
        <v>2.6500000000000003E-2</v>
      </c>
      <c r="X201" s="216" t="s">
        <v>165</v>
      </c>
      <c r="Y201" s="216" t="s">
        <v>165</v>
      </c>
      <c r="Z201" s="213" t="s">
        <v>165</v>
      </c>
    </row>
    <row r="202" spans="1:26" x14ac:dyDescent="0.2">
      <c r="A202" s="129" t="s">
        <v>37</v>
      </c>
      <c r="B202" s="217" t="s">
        <v>165</v>
      </c>
      <c r="C202" s="217" t="s">
        <v>165</v>
      </c>
      <c r="D202" s="216" t="s">
        <v>165</v>
      </c>
      <c r="E202" s="216">
        <f>'210-Single Family (ITE)'!H12</f>
        <v>7.1900000000000006E-2</v>
      </c>
      <c r="F202" s="216" t="s">
        <v>165</v>
      </c>
      <c r="G202" s="133">
        <f>'430 - Golf Course (ITE)'!H12</f>
        <v>8.2000000000000003E-2</v>
      </c>
      <c r="H202" s="216" t="s">
        <v>165</v>
      </c>
      <c r="I202" s="216" t="s">
        <v>165</v>
      </c>
      <c r="J202" s="216" t="s">
        <v>165</v>
      </c>
      <c r="K202" s="133">
        <f>'565 - Day Care (ITE)'!H12</f>
        <v>0</v>
      </c>
      <c r="L202" s="216" t="s">
        <v>165</v>
      </c>
      <c r="M202" s="216" t="s">
        <v>165</v>
      </c>
      <c r="N202" s="133">
        <f>'813 - Discount Superstore (ITE)'!H12</f>
        <v>6.1100000000000002E-2</v>
      </c>
      <c r="O202" s="216">
        <f>'815 - Discount Store (ITE)'!H12</f>
        <v>9.0999999999999998E-2</v>
      </c>
      <c r="P202" s="133">
        <f>'820 - Shopping Center (ITE)'!H12</f>
        <v>4.5999999999999999E-2</v>
      </c>
      <c r="Q202" s="216" t="s">
        <v>165</v>
      </c>
      <c r="R202" s="216">
        <f>'850-Supermarket (ITE)'!H12</f>
        <v>0.10930000000000001</v>
      </c>
      <c r="S202" s="133">
        <f>'857 - Discount Club (ITE)'!H12</f>
        <v>4.9000000000000002E-2</v>
      </c>
      <c r="T202" s="216">
        <f>'862-Home Improvement (ITE)'!H12</f>
        <v>9.9900000000000003E-2</v>
      </c>
      <c r="U202" s="216" t="s">
        <v>165</v>
      </c>
      <c r="V202" s="133">
        <f>'932 - HTSD Restaurant (ITE)'!H12</f>
        <v>0.1429</v>
      </c>
      <c r="W202" s="216">
        <f>'934 - Fast-Food w Drive (ITE)'!H12</f>
        <v>4.3300000000000005E-2</v>
      </c>
      <c r="X202" s="216" t="s">
        <v>165</v>
      </c>
      <c r="Y202" s="216" t="s">
        <v>165</v>
      </c>
      <c r="Z202" s="213" t="s">
        <v>165</v>
      </c>
    </row>
    <row r="203" spans="1:26" x14ac:dyDescent="0.2">
      <c r="A203" s="129" t="s">
        <v>31</v>
      </c>
      <c r="B203" s="217" t="s">
        <v>165</v>
      </c>
      <c r="C203" s="217" t="s">
        <v>165</v>
      </c>
      <c r="D203" s="216" t="s">
        <v>165</v>
      </c>
      <c r="E203" s="216">
        <f>'210-Single Family (ITE)'!H13</f>
        <v>7.7800000000000008E-2</v>
      </c>
      <c r="F203" s="216" t="s">
        <v>165</v>
      </c>
      <c r="G203" s="133">
        <f>'430 - Golf Course (ITE)'!H13</f>
        <v>7.9000000000000001E-2</v>
      </c>
      <c r="H203" s="216" t="s">
        <v>165</v>
      </c>
      <c r="I203" s="216" t="s">
        <v>165</v>
      </c>
      <c r="J203" s="216" t="s">
        <v>165</v>
      </c>
      <c r="K203" s="133">
        <f>'565 - Day Care (ITE)'!H13</f>
        <v>0.1</v>
      </c>
      <c r="L203" s="216" t="s">
        <v>165</v>
      </c>
      <c r="M203" s="216" t="s">
        <v>165</v>
      </c>
      <c r="N203" s="133">
        <f>'813 - Discount Superstore (ITE)'!H13</f>
        <v>8.5600000000000009E-2</v>
      </c>
      <c r="O203" s="216">
        <f>'815 - Discount Store (ITE)'!H13</f>
        <v>0.13270000000000001</v>
      </c>
      <c r="P203" s="133">
        <f>'820 - Shopping Center (ITE)'!H13</f>
        <v>7.9000000000000001E-2</v>
      </c>
      <c r="Q203" s="216" t="s">
        <v>165</v>
      </c>
      <c r="R203" s="216">
        <f>'850-Supermarket (ITE)'!H13</f>
        <v>0.11520000000000001</v>
      </c>
      <c r="S203" s="133">
        <f>'857 - Discount Club (ITE)'!H13</f>
        <v>0.122</v>
      </c>
      <c r="T203" s="216">
        <f>'862-Home Improvement (ITE)'!H13</f>
        <v>0.1154</v>
      </c>
      <c r="U203" s="216" t="s">
        <v>165</v>
      </c>
      <c r="V203" s="133">
        <f>'932 - HTSD Restaurant (ITE)'!H13</f>
        <v>0.15240000000000001</v>
      </c>
      <c r="W203" s="216">
        <f>'934 - Fast-Food w Drive (ITE)'!H13</f>
        <v>8.14E-2</v>
      </c>
      <c r="X203" s="216" t="s">
        <v>165</v>
      </c>
      <c r="Y203" s="216" t="s">
        <v>165</v>
      </c>
      <c r="Z203" s="213" t="s">
        <v>165</v>
      </c>
    </row>
    <row r="204" spans="1:26" x14ac:dyDescent="0.2">
      <c r="A204" s="129" t="s">
        <v>32</v>
      </c>
      <c r="B204" s="217" t="s">
        <v>165</v>
      </c>
      <c r="C204" s="217" t="s">
        <v>165</v>
      </c>
      <c r="D204" s="216" t="s">
        <v>165</v>
      </c>
      <c r="E204" s="216">
        <f>'210-Single Family (ITE)'!H14</f>
        <v>8.9800000000000005E-2</v>
      </c>
      <c r="F204" s="216" t="s">
        <v>165</v>
      </c>
      <c r="G204" s="133">
        <f>'430 - Golf Course (ITE)'!H14</f>
        <v>8.3000000000000004E-2</v>
      </c>
      <c r="H204" s="216" t="s">
        <v>165</v>
      </c>
      <c r="I204" s="216" t="s">
        <v>165</v>
      </c>
      <c r="J204" s="216" t="s">
        <v>165</v>
      </c>
      <c r="K204" s="133">
        <f>'565 - Day Care (ITE)'!H14</f>
        <v>0.1</v>
      </c>
      <c r="L204" s="216" t="s">
        <v>165</v>
      </c>
      <c r="M204" s="216" t="s">
        <v>165</v>
      </c>
      <c r="N204" s="133">
        <f>'813 - Discount Superstore (ITE)'!H14</f>
        <v>0.10600000000000001</v>
      </c>
      <c r="O204" s="216">
        <f>'815 - Discount Store (ITE)'!H14</f>
        <v>0.13600000000000001</v>
      </c>
      <c r="P204" s="133">
        <f>'820 - Shopping Center (ITE)'!H14</f>
        <v>0.12</v>
      </c>
      <c r="Q204" s="216" t="s">
        <v>165</v>
      </c>
      <c r="R204" s="216">
        <f>'850-Supermarket (ITE)'!H14</f>
        <v>0.12200000000000001</v>
      </c>
      <c r="S204" s="133">
        <f>'857 - Discount Club (ITE)'!H14</f>
        <v>0.16400000000000001</v>
      </c>
      <c r="T204" s="216">
        <f>'862-Home Improvement (ITE)'!H14</f>
        <v>0.11750000000000001</v>
      </c>
      <c r="U204" s="216" t="s">
        <v>165</v>
      </c>
      <c r="V204" s="133">
        <f>'932 - HTSD Restaurant (ITE)'!H14</f>
        <v>0.1071</v>
      </c>
      <c r="W204" s="216">
        <f>'934 - Fast-Food w Drive (ITE)'!H14</f>
        <v>9.7100000000000006E-2</v>
      </c>
      <c r="X204" s="216" t="s">
        <v>165</v>
      </c>
      <c r="Y204" s="216" t="s">
        <v>165</v>
      </c>
      <c r="Z204" s="213" t="s">
        <v>165</v>
      </c>
    </row>
    <row r="205" spans="1:26" x14ac:dyDescent="0.2">
      <c r="A205" s="129" t="s">
        <v>33</v>
      </c>
      <c r="B205" s="217" t="s">
        <v>165</v>
      </c>
      <c r="C205" s="217" t="s">
        <v>165</v>
      </c>
      <c r="D205" s="216" t="s">
        <v>165</v>
      </c>
      <c r="E205" s="216">
        <f>'210-Single Family (ITE)'!H15</f>
        <v>5.9900000000000002E-2</v>
      </c>
      <c r="F205" s="216" t="s">
        <v>165</v>
      </c>
      <c r="G205" s="133">
        <f>'430 - Golf Course (ITE)'!H15</f>
        <v>9.1999999999999998E-2</v>
      </c>
      <c r="H205" s="216" t="s">
        <v>165</v>
      </c>
      <c r="I205" s="216" t="s">
        <v>165</v>
      </c>
      <c r="J205" s="216" t="s">
        <v>165</v>
      </c>
      <c r="K205" s="133">
        <f>'565 - Day Care (ITE)'!H15</f>
        <v>0.1</v>
      </c>
      <c r="L205" s="216" t="s">
        <v>165</v>
      </c>
      <c r="M205" s="216" t="s">
        <v>165</v>
      </c>
      <c r="N205" s="133">
        <f>'813 - Discount Superstore (ITE)'!H15</f>
        <v>9.580000000000001E-2</v>
      </c>
      <c r="O205" s="216">
        <f>'815 - Discount Store (ITE)'!H15</f>
        <v>0.15710000000000002</v>
      </c>
      <c r="P205" s="133">
        <f>'820 - Shopping Center (ITE)'!H15</f>
        <v>0.14699999999999999</v>
      </c>
      <c r="Q205" s="216" t="s">
        <v>165</v>
      </c>
      <c r="R205" s="216">
        <f>'850-Supermarket (ITE)'!H15</f>
        <v>0.11220000000000001</v>
      </c>
      <c r="S205" s="133">
        <f>'857 - Discount Club (ITE)'!H15</f>
        <v>0.16500000000000001</v>
      </c>
      <c r="T205" s="216">
        <f>'862-Home Improvement (ITE)'!H15</f>
        <v>0.10920000000000001</v>
      </c>
      <c r="U205" s="216" t="s">
        <v>165</v>
      </c>
      <c r="V205" s="133">
        <f>'932 - HTSD Restaurant (ITE)'!H15</f>
        <v>6.6700000000000009E-2</v>
      </c>
      <c r="W205" s="216">
        <f>'934 - Fast-Food w Drive (ITE)'!H15</f>
        <v>7.8800000000000009E-2</v>
      </c>
      <c r="X205" s="216" t="s">
        <v>165</v>
      </c>
      <c r="Y205" s="216" t="s">
        <v>165</v>
      </c>
      <c r="Z205" s="213" t="s">
        <v>165</v>
      </c>
    </row>
    <row r="206" spans="1:26" x14ac:dyDescent="0.2">
      <c r="A206" s="129" t="s">
        <v>34</v>
      </c>
      <c r="B206" s="217" t="s">
        <v>165</v>
      </c>
      <c r="C206" s="217" t="s">
        <v>165</v>
      </c>
      <c r="D206" s="216" t="s">
        <v>165</v>
      </c>
      <c r="E206" s="216">
        <f>'210-Single Family (ITE)'!H16</f>
        <v>2.9900000000000003E-2</v>
      </c>
      <c r="F206" s="216" t="s">
        <v>165</v>
      </c>
      <c r="G206" s="133">
        <f>'430 - Golf Course (ITE)'!H16</f>
        <v>9.5000000000000001E-2</v>
      </c>
      <c r="H206" s="216" t="s">
        <v>165</v>
      </c>
      <c r="I206" s="216" t="s">
        <v>165</v>
      </c>
      <c r="J206" s="216" t="s">
        <v>165</v>
      </c>
      <c r="K206" s="133">
        <f>'565 - Day Care (ITE)'!H16</f>
        <v>0.1</v>
      </c>
      <c r="L206" s="216" t="s">
        <v>165</v>
      </c>
      <c r="M206" s="216" t="s">
        <v>165</v>
      </c>
      <c r="N206" s="133">
        <f>'813 - Discount Superstore (ITE)'!H16</f>
        <v>0.1009</v>
      </c>
      <c r="O206" s="216">
        <f>'815 - Discount Store (ITE)'!H16</f>
        <v>0.1452</v>
      </c>
      <c r="P206" s="133">
        <f>'820 - Shopping Center (ITE)'!H16</f>
        <v>0.156</v>
      </c>
      <c r="Q206" s="216" t="s">
        <v>165</v>
      </c>
      <c r="R206" s="216">
        <f>'850-Supermarket (ITE)'!H16</f>
        <v>0.10630000000000001</v>
      </c>
      <c r="S206" s="133">
        <f>'857 - Discount Club (ITE)'!H16</f>
        <v>0.152</v>
      </c>
      <c r="T206" s="216">
        <f>'862-Home Improvement (ITE)'!H16</f>
        <v>0.108</v>
      </c>
      <c r="U206" s="216" t="s">
        <v>165</v>
      </c>
      <c r="V206" s="133">
        <f>'932 - HTSD Restaurant (ITE)'!H16</f>
        <v>4.2900000000000001E-2</v>
      </c>
      <c r="W206" s="216">
        <f>'934 - Fast-Food w Drive (ITE)'!H16</f>
        <v>8.3600000000000008E-2</v>
      </c>
      <c r="X206" s="216" t="s">
        <v>165</v>
      </c>
      <c r="Y206" s="216" t="s">
        <v>165</v>
      </c>
      <c r="Z206" s="213" t="s">
        <v>165</v>
      </c>
    </row>
    <row r="207" spans="1:26" x14ac:dyDescent="0.2">
      <c r="A207" s="129" t="s">
        <v>35</v>
      </c>
      <c r="B207" s="217" t="s">
        <v>165</v>
      </c>
      <c r="C207" s="217" t="s">
        <v>165</v>
      </c>
      <c r="D207" s="216" t="s">
        <v>165</v>
      </c>
      <c r="E207" s="216">
        <f>'210-Single Family (ITE)'!H17</f>
        <v>8.3799999999999999E-2</v>
      </c>
      <c r="F207" s="216" t="s">
        <v>165</v>
      </c>
      <c r="G207" s="133">
        <f>'430 - Golf Course (ITE)'!H17</f>
        <v>9.9000000000000005E-2</v>
      </c>
      <c r="H207" s="216" t="s">
        <v>165</v>
      </c>
      <c r="I207" s="216" t="s">
        <v>165</v>
      </c>
      <c r="J207" s="216" t="s">
        <v>165</v>
      </c>
      <c r="K207" s="133">
        <f>'565 - Day Care (ITE)'!H17</f>
        <v>0</v>
      </c>
      <c r="L207" s="216" t="s">
        <v>165</v>
      </c>
      <c r="M207" s="216" t="s">
        <v>165</v>
      </c>
      <c r="N207" s="133">
        <f>'813 - Discount Superstore (ITE)'!H17</f>
        <v>8.2900000000000001E-2</v>
      </c>
      <c r="O207" s="216">
        <f>'815 - Discount Store (ITE)'!H17</f>
        <v>0.14460000000000001</v>
      </c>
      <c r="P207" s="133">
        <f>'820 - Shopping Center (ITE)'!H17</f>
        <v>0.158</v>
      </c>
      <c r="Q207" s="216" t="s">
        <v>165</v>
      </c>
      <c r="R207" s="216">
        <f>'850-Supermarket (ITE)'!H17</f>
        <v>8.660000000000001E-2</v>
      </c>
      <c r="S207" s="133">
        <f>'857 - Discount Club (ITE)'!H17</f>
        <v>0.16200000000000001</v>
      </c>
      <c r="T207" s="216">
        <f>'862-Home Improvement (ITE)'!H17</f>
        <v>0.10010000000000001</v>
      </c>
      <c r="U207" s="216" t="s">
        <v>165</v>
      </c>
      <c r="V207" s="133">
        <f>'932 - HTSD Restaurant (ITE)'!H17</f>
        <v>3.1E-2</v>
      </c>
      <c r="W207" s="216">
        <f>'934 - Fast-Food w Drive (ITE)'!H17</f>
        <v>8.14E-2</v>
      </c>
      <c r="X207" s="216" t="s">
        <v>165</v>
      </c>
      <c r="Y207" s="216" t="s">
        <v>165</v>
      </c>
      <c r="Z207" s="213" t="s">
        <v>165</v>
      </c>
    </row>
    <row r="208" spans="1:26" x14ac:dyDescent="0.2">
      <c r="A208" s="129" t="s">
        <v>36</v>
      </c>
      <c r="B208" s="217" t="s">
        <v>165</v>
      </c>
      <c r="C208" s="217" t="s">
        <v>165</v>
      </c>
      <c r="D208" s="216" t="s">
        <v>165</v>
      </c>
      <c r="E208" s="216">
        <f>'210-Single Family (ITE)'!H18</f>
        <v>8.3799999999999999E-2</v>
      </c>
      <c r="F208" s="216" t="s">
        <v>165</v>
      </c>
      <c r="G208" s="133">
        <f>'430 - Golf Course (ITE)'!H18</f>
        <v>9.4E-2</v>
      </c>
      <c r="H208" s="216" t="s">
        <v>165</v>
      </c>
      <c r="I208" s="216" t="s">
        <v>165</v>
      </c>
      <c r="J208" s="216" t="s">
        <v>165</v>
      </c>
      <c r="K208" s="133">
        <f>'565 - Day Care (ITE)'!H18</f>
        <v>0.15</v>
      </c>
      <c r="L208" s="216" t="s">
        <v>165</v>
      </c>
      <c r="M208" s="216" t="s">
        <v>165</v>
      </c>
      <c r="N208" s="133">
        <f>'813 - Discount Superstore (ITE)'!H18</f>
        <v>8.2100000000000006E-2</v>
      </c>
      <c r="O208" s="216">
        <f>'815 - Discount Store (ITE)'!H18</f>
        <v>0.10940000000000001</v>
      </c>
      <c r="P208" s="133">
        <f>'820 - Shopping Center (ITE)'!H18</f>
        <v>0.13</v>
      </c>
      <c r="Q208" s="216" t="s">
        <v>165</v>
      </c>
      <c r="R208" s="216">
        <f>'850-Supermarket (ITE)'!H18</f>
        <v>7.0900000000000005E-2</v>
      </c>
      <c r="S208" s="133">
        <f>'857 - Discount Club (ITE)'!H18</f>
        <v>0.1</v>
      </c>
      <c r="T208" s="216">
        <f>'862-Home Improvement (ITE)'!H18</f>
        <v>9.1300000000000006E-2</v>
      </c>
      <c r="U208" s="216" t="s">
        <v>165</v>
      </c>
      <c r="V208" s="133">
        <f>'932 - HTSD Restaurant (ITE)'!H18</f>
        <v>1.9E-2</v>
      </c>
      <c r="W208" s="216">
        <f>'934 - Fast-Food w Drive (ITE)'!H18</f>
        <v>9.1900000000000009E-2</v>
      </c>
      <c r="X208" s="216" t="s">
        <v>165</v>
      </c>
      <c r="Y208" s="216" t="s">
        <v>165</v>
      </c>
      <c r="Z208" s="213" t="s">
        <v>165</v>
      </c>
    </row>
    <row r="209" spans="1:26" x14ac:dyDescent="0.2">
      <c r="A209" s="204" t="s">
        <v>141</v>
      </c>
      <c r="B209" s="217" t="s">
        <v>165</v>
      </c>
      <c r="C209" s="217" t="s">
        <v>165</v>
      </c>
      <c r="D209" s="216" t="s">
        <v>165</v>
      </c>
      <c r="E209" s="216">
        <f>'210-Single Family (ITE)'!H19</f>
        <v>6.59E-2</v>
      </c>
      <c r="F209" s="216" t="s">
        <v>165</v>
      </c>
      <c r="G209" s="133">
        <f>'430 - Golf Course (ITE)'!H19</f>
        <v>7.4999999999999997E-2</v>
      </c>
      <c r="H209" s="216" t="s">
        <v>165</v>
      </c>
      <c r="I209" s="216" t="s">
        <v>165</v>
      </c>
      <c r="J209" s="216" t="s">
        <v>165</v>
      </c>
      <c r="K209" s="133">
        <f>'565 - Day Care (ITE)'!H19</f>
        <v>0.05</v>
      </c>
      <c r="L209" s="216" t="s">
        <v>165</v>
      </c>
      <c r="M209" s="216" t="s">
        <v>165</v>
      </c>
      <c r="N209" s="133">
        <f>'813 - Discount Superstore (ITE)'!H19</f>
        <v>7.9700000000000007E-2</v>
      </c>
      <c r="O209" s="216">
        <f>'815 - Discount Store (ITE)'!H19</f>
        <v>4.5000000000000005E-2</v>
      </c>
      <c r="P209" s="133">
        <f>'820 - Shopping Center (ITE)'!H19</f>
        <v>4.5999999999999999E-2</v>
      </c>
      <c r="Q209" s="216" t="s">
        <v>165</v>
      </c>
      <c r="R209" s="216">
        <f>'850-Supermarket (ITE)'!H19</f>
        <v>6.4000000000000001E-2</v>
      </c>
      <c r="S209" s="133">
        <f>'857 - Discount Club (ITE)'!H19</f>
        <v>4.1000000000000002E-2</v>
      </c>
      <c r="T209" s="216">
        <f>'862-Home Improvement (ITE)'!H19</f>
        <v>8.5800000000000001E-2</v>
      </c>
      <c r="U209" s="216" t="s">
        <v>165</v>
      </c>
      <c r="V209" s="133">
        <f>'932 - HTSD Restaurant (ITE)'!H19</f>
        <v>1.43E-2</v>
      </c>
      <c r="W209" s="216">
        <f>'934 - Fast-Food w Drive (ITE)'!H19</f>
        <v>0.1143</v>
      </c>
      <c r="X209" s="216" t="s">
        <v>165</v>
      </c>
      <c r="Y209" s="216" t="s">
        <v>165</v>
      </c>
      <c r="Z209" s="213" t="s">
        <v>165</v>
      </c>
    </row>
    <row r="210" spans="1:26" x14ac:dyDescent="0.2">
      <c r="A210" s="205" t="s">
        <v>142</v>
      </c>
      <c r="B210" s="217" t="s">
        <v>165</v>
      </c>
      <c r="C210" s="217" t="s">
        <v>165</v>
      </c>
      <c r="D210" s="216" t="s">
        <v>165</v>
      </c>
      <c r="E210" s="216">
        <f>'210-Single Family (ITE)'!H20</f>
        <v>3.5900000000000001E-2</v>
      </c>
      <c r="F210" s="216" t="s">
        <v>165</v>
      </c>
      <c r="G210" s="133">
        <f>'430 - Golf Course (ITE)'!H20</f>
        <v>0.08</v>
      </c>
      <c r="H210" s="216" t="s">
        <v>165</v>
      </c>
      <c r="I210" s="216" t="s">
        <v>165</v>
      </c>
      <c r="J210" s="216" t="s">
        <v>165</v>
      </c>
      <c r="K210" s="133">
        <f>'565 - Day Care (ITE)'!H20</f>
        <v>0.05</v>
      </c>
      <c r="L210" s="216" t="s">
        <v>165</v>
      </c>
      <c r="M210" s="216" t="s">
        <v>165</v>
      </c>
      <c r="N210" s="133">
        <f>'813 - Discount Superstore (ITE)'!H20</f>
        <v>5.6500000000000002E-2</v>
      </c>
      <c r="O210" s="216">
        <f>'815 - Discount Store (ITE)'!H20</f>
        <v>3.3E-3</v>
      </c>
      <c r="P210" s="133">
        <f>'820 - Shopping Center (ITE)'!H20</f>
        <v>1.9E-2</v>
      </c>
      <c r="Q210" s="216" t="s">
        <v>165</v>
      </c>
      <c r="R210" s="216">
        <f>'850-Supermarket (ITE)'!H20</f>
        <v>3.3500000000000002E-2</v>
      </c>
      <c r="S210" s="133">
        <f>'857 - Discount Club (ITE)'!H20</f>
        <v>0.01</v>
      </c>
      <c r="T210" s="267" t="s">
        <v>165</v>
      </c>
      <c r="U210" s="216" t="s">
        <v>165</v>
      </c>
      <c r="V210" s="133">
        <f>'932 - HTSD Restaurant (ITE)'!H20</f>
        <v>3.3300000000000003E-2</v>
      </c>
      <c r="W210" s="216">
        <f>'934 - Fast-Food w Drive (ITE)'!H20</f>
        <v>0.10680000000000001</v>
      </c>
      <c r="X210" s="216" t="s">
        <v>165</v>
      </c>
      <c r="Y210" s="216" t="s">
        <v>165</v>
      </c>
      <c r="Z210" s="213" t="s">
        <v>165</v>
      </c>
    </row>
    <row r="211" spans="1:26" x14ac:dyDescent="0.2">
      <c r="A211" s="205" t="s">
        <v>160</v>
      </c>
      <c r="B211" s="217" t="s">
        <v>165</v>
      </c>
      <c r="C211" s="217" t="s">
        <v>165</v>
      </c>
      <c r="D211" s="216" t="s">
        <v>165</v>
      </c>
      <c r="E211" s="216">
        <f>'210-Single Family (ITE)'!H21</f>
        <v>2.4E-2</v>
      </c>
      <c r="F211" s="216" t="s">
        <v>165</v>
      </c>
      <c r="G211" s="133">
        <f>'430 - Golf Course (ITE)'!H21</f>
        <v>4.2000000000000003E-2</v>
      </c>
      <c r="H211" s="216" t="s">
        <v>165</v>
      </c>
      <c r="I211" s="216" t="s">
        <v>165</v>
      </c>
      <c r="J211" s="216" t="s">
        <v>165</v>
      </c>
      <c r="K211" s="133">
        <f>'565 - Day Care (ITE)'!H21</f>
        <v>0.05</v>
      </c>
      <c r="L211" s="216" t="s">
        <v>165</v>
      </c>
      <c r="M211" s="216" t="s">
        <v>165</v>
      </c>
      <c r="N211" s="133">
        <f>'813 - Discount Superstore (ITE)'!H21</f>
        <v>5.0300000000000004E-2</v>
      </c>
      <c r="O211" s="216">
        <f>'815 - Discount Store (ITE)'!H21</f>
        <v>5.0000000000000001E-4</v>
      </c>
      <c r="P211" s="133">
        <f>'820 - Shopping Center (ITE)'!H21</f>
        <v>1.2999999999999999E-2</v>
      </c>
      <c r="Q211" s="216" t="s">
        <v>165</v>
      </c>
      <c r="R211" s="216">
        <f>'850-Supermarket (ITE)'!H21</f>
        <v>7.9000000000000008E-3</v>
      </c>
      <c r="S211" s="133">
        <f>'857 - Discount Club (ITE)'!H21</f>
        <v>2E-3</v>
      </c>
      <c r="T211" s="267" t="s">
        <v>165</v>
      </c>
      <c r="U211" s="216" t="s">
        <v>165</v>
      </c>
      <c r="V211" s="133">
        <f>'932 - HTSD Restaurant (ITE)'!H21</f>
        <v>1.9E-2</v>
      </c>
      <c r="W211" s="216">
        <f>'934 - Fast-Food w Drive (ITE)'!H21</f>
        <v>8.2500000000000004E-2</v>
      </c>
      <c r="X211" s="216" t="s">
        <v>165</v>
      </c>
      <c r="Y211" s="216" t="s">
        <v>165</v>
      </c>
      <c r="Z211" s="213" t="s">
        <v>165</v>
      </c>
    </row>
    <row r="212" spans="1:26" x14ac:dyDescent="0.2">
      <c r="A212" s="205" t="s">
        <v>161</v>
      </c>
      <c r="B212" s="217" t="s">
        <v>165</v>
      </c>
      <c r="C212" s="217" t="s">
        <v>165</v>
      </c>
      <c r="D212" s="216" t="s">
        <v>165</v>
      </c>
      <c r="E212" s="216">
        <f>'210-Single Family (ITE)'!H22</f>
        <v>0</v>
      </c>
      <c r="F212" s="216" t="s">
        <v>165</v>
      </c>
      <c r="G212" s="133">
        <f>'430 - Golf Course (ITE)'!H22</f>
        <v>1.0999999999999999E-2</v>
      </c>
      <c r="H212" s="216" t="s">
        <v>165</v>
      </c>
      <c r="I212" s="216" t="s">
        <v>165</v>
      </c>
      <c r="J212" s="216" t="s">
        <v>165</v>
      </c>
      <c r="K212" s="133">
        <f>'565 - Day Care (ITE)'!H22</f>
        <v>0.05</v>
      </c>
      <c r="L212" s="216" t="s">
        <v>165</v>
      </c>
      <c r="M212" s="216" t="s">
        <v>165</v>
      </c>
      <c r="N212" s="133">
        <f>'813 - Discount Superstore (ITE)'!H22</f>
        <v>3.44E-2</v>
      </c>
      <c r="O212" s="216">
        <f>'815 - Discount Store (ITE)'!H22</f>
        <v>0</v>
      </c>
      <c r="P212" s="133">
        <f>'820 - Shopping Center (ITE)'!H22</f>
        <v>1.0999999999999999E-2</v>
      </c>
      <c r="Q212" s="216" t="s">
        <v>165</v>
      </c>
      <c r="R212" s="216">
        <f>'850-Supermarket (ITE)'!H22</f>
        <v>3.9000000000000003E-3</v>
      </c>
      <c r="S212" s="133">
        <f>'857 - Discount Club (ITE)'!H22</f>
        <v>1E-3</v>
      </c>
      <c r="T212" s="267" t="s">
        <v>165</v>
      </c>
      <c r="U212" s="216" t="s">
        <v>165</v>
      </c>
      <c r="V212" s="133">
        <f>'932 - HTSD Restaurant (ITE)'!H22</f>
        <v>9.4999999999999998E-3</v>
      </c>
      <c r="W212" s="216">
        <f>'934 - Fast-Food w Drive (ITE)'!H22</f>
        <v>4.4400000000000002E-2</v>
      </c>
      <c r="X212" s="216" t="s">
        <v>165</v>
      </c>
      <c r="Y212" s="216" t="s">
        <v>165</v>
      </c>
      <c r="Z212" s="213" t="s">
        <v>165</v>
      </c>
    </row>
    <row r="213" spans="1:26" x14ac:dyDescent="0.2">
      <c r="A213" s="204" t="s">
        <v>186</v>
      </c>
      <c r="B213" s="217" t="s">
        <v>165</v>
      </c>
      <c r="C213" s="217" t="s">
        <v>165</v>
      </c>
      <c r="D213" s="216" t="s">
        <v>165</v>
      </c>
      <c r="E213" s="216">
        <f>'210-Single Family (ITE)'!H23</f>
        <v>4.19E-2</v>
      </c>
      <c r="F213" s="216" t="s">
        <v>165</v>
      </c>
      <c r="G213" s="133">
        <f>'430 - Golf Course (ITE)'!H23</f>
        <v>2.1999999999999999E-2</v>
      </c>
      <c r="H213" s="216" t="s">
        <v>165</v>
      </c>
      <c r="I213" s="216" t="s">
        <v>165</v>
      </c>
      <c r="J213" s="216" t="s">
        <v>165</v>
      </c>
      <c r="K213" s="133">
        <f>'565 - Day Care (ITE)'!H23</f>
        <v>0.1</v>
      </c>
      <c r="L213" s="216" t="s">
        <v>165</v>
      </c>
      <c r="M213" s="216" t="s">
        <v>165</v>
      </c>
      <c r="N213" s="133">
        <f>'813 - Discount Superstore (ITE)'!H23</f>
        <v>6.0500000000000005E-2</v>
      </c>
      <c r="O213" s="216">
        <f>'815 - Discount Store (ITE)'!H23</f>
        <v>0</v>
      </c>
      <c r="P213" s="133">
        <f>'820 - Shopping Center (ITE)'!H23</f>
        <v>0.03</v>
      </c>
      <c r="Q213" s="216" t="s">
        <v>165</v>
      </c>
      <c r="R213" s="216">
        <f>'850-Supermarket (ITE)'!H23</f>
        <v>5.8999999999999999E-3</v>
      </c>
      <c r="S213" s="133">
        <f>'857 - Discount Club (ITE)'!H23</f>
        <v>2E-3</v>
      </c>
      <c r="T213" s="267" t="s">
        <v>165</v>
      </c>
      <c r="U213" s="216" t="s">
        <v>165</v>
      </c>
      <c r="V213" s="133">
        <f>'932 - HTSD Restaurant (ITE)'!H23</f>
        <v>4.2900000000000001E-2</v>
      </c>
      <c r="W213" s="216">
        <f>'934 - Fast-Food w Drive (ITE)'!H23</f>
        <v>3.2899999999999999E-2</v>
      </c>
      <c r="X213" s="216" t="s">
        <v>165</v>
      </c>
      <c r="Y213" s="216" t="s">
        <v>165</v>
      </c>
      <c r="Z213" s="213" t="s">
        <v>165</v>
      </c>
    </row>
    <row r="214" spans="1:26" s="207" customFormat="1" x14ac:dyDescent="0.2">
      <c r="A214" s="206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2"/>
    </row>
    <row r="216" spans="1:26" x14ac:dyDescent="0.2">
      <c r="A216" s="242" t="s">
        <v>229</v>
      </c>
      <c r="B216" s="242"/>
    </row>
    <row r="217" spans="1:26" x14ac:dyDescent="0.2">
      <c r="A217" s="242"/>
      <c r="B217" s="242"/>
    </row>
    <row r="219" spans="1:26" x14ac:dyDescent="0.2">
      <c r="B219" s="219" t="s">
        <v>170</v>
      </c>
      <c r="C219" s="219" t="s">
        <v>215</v>
      </c>
      <c r="D219" s="266" t="s">
        <v>239</v>
      </c>
      <c r="E219" s="266" t="s">
        <v>241</v>
      </c>
      <c r="F219" s="266" t="s">
        <v>242</v>
      </c>
      <c r="G219" s="219" t="s">
        <v>218</v>
      </c>
      <c r="H219" s="266" t="s">
        <v>246</v>
      </c>
      <c r="I219" s="266" t="s">
        <v>219</v>
      </c>
      <c r="J219" s="266" t="s">
        <v>248</v>
      </c>
      <c r="K219" s="219" t="s">
        <v>220</v>
      </c>
      <c r="L219" s="219" t="s">
        <v>221</v>
      </c>
      <c r="M219" s="219" t="s">
        <v>222</v>
      </c>
      <c r="N219" s="266" t="s">
        <v>258</v>
      </c>
      <c r="O219" s="266" t="s">
        <v>257</v>
      </c>
      <c r="P219" s="266" t="s">
        <v>261</v>
      </c>
      <c r="Q219" s="266" t="s">
        <v>265</v>
      </c>
      <c r="R219" s="219" t="s">
        <v>223</v>
      </c>
      <c r="S219" s="219" t="s">
        <v>224</v>
      </c>
      <c r="T219" s="266" t="s">
        <v>274</v>
      </c>
      <c r="U219" s="266" t="s">
        <v>225</v>
      </c>
      <c r="V219" s="266" t="s">
        <v>279</v>
      </c>
      <c r="W219" s="266" t="s">
        <v>282</v>
      </c>
      <c r="X219" s="266" t="s">
        <v>288</v>
      </c>
      <c r="Y219" s="266" t="s">
        <v>289</v>
      </c>
      <c r="Z219" s="229" t="s">
        <v>230</v>
      </c>
    </row>
    <row r="220" spans="1:26" x14ac:dyDescent="0.2">
      <c r="B220" s="219" t="s">
        <v>38</v>
      </c>
      <c r="C220" s="219" t="s">
        <v>38</v>
      </c>
      <c r="D220" s="219" t="s">
        <v>38</v>
      </c>
      <c r="E220" s="219" t="s">
        <v>38</v>
      </c>
      <c r="F220" s="219" t="s">
        <v>38</v>
      </c>
      <c r="G220" s="219" t="s">
        <v>38</v>
      </c>
      <c r="H220" s="219" t="s">
        <v>38</v>
      </c>
      <c r="I220" s="219" t="s">
        <v>38</v>
      </c>
      <c r="J220" s="219" t="s">
        <v>38</v>
      </c>
      <c r="K220" s="219" t="s">
        <v>38</v>
      </c>
      <c r="L220" s="219" t="s">
        <v>38</v>
      </c>
      <c r="M220" s="219" t="s">
        <v>38</v>
      </c>
      <c r="N220" s="219" t="s">
        <v>38</v>
      </c>
      <c r="O220" s="219" t="s">
        <v>38</v>
      </c>
      <c r="P220" s="219" t="s">
        <v>38</v>
      </c>
      <c r="Q220" s="219" t="s">
        <v>38</v>
      </c>
      <c r="R220" s="219" t="s">
        <v>38</v>
      </c>
      <c r="S220" s="219" t="s">
        <v>38</v>
      </c>
      <c r="T220" s="219" t="s">
        <v>38</v>
      </c>
      <c r="U220" s="219" t="s">
        <v>38</v>
      </c>
      <c r="V220" s="219" t="s">
        <v>38</v>
      </c>
      <c r="W220" s="219" t="s">
        <v>38</v>
      </c>
      <c r="X220" s="219" t="s">
        <v>38</v>
      </c>
      <c r="Y220" s="219" t="s">
        <v>38</v>
      </c>
      <c r="Z220" s="219" t="s">
        <v>38</v>
      </c>
    </row>
    <row r="221" spans="1:26" x14ac:dyDescent="0.2">
      <c r="A221" s="129" t="s">
        <v>26</v>
      </c>
      <c r="B221" s="214" t="s">
        <v>165</v>
      </c>
      <c r="C221" s="214" t="s">
        <v>165</v>
      </c>
      <c r="D221" s="214" t="s">
        <v>165</v>
      </c>
      <c r="E221" s="214" t="s">
        <v>165</v>
      </c>
      <c r="F221" s="214" t="s">
        <v>165</v>
      </c>
      <c r="G221" s="214" t="s">
        <v>165</v>
      </c>
      <c r="H221" s="214" t="s">
        <v>165</v>
      </c>
      <c r="I221" s="214" t="s">
        <v>165</v>
      </c>
      <c r="J221" s="214" t="s">
        <v>165</v>
      </c>
      <c r="K221" s="214" t="s">
        <v>165</v>
      </c>
      <c r="L221" s="214" t="s">
        <v>165</v>
      </c>
      <c r="M221" s="214" t="s">
        <v>165</v>
      </c>
      <c r="N221" s="214" t="s">
        <v>165</v>
      </c>
      <c r="O221" s="214" t="s">
        <v>165</v>
      </c>
      <c r="P221" s="214" t="s">
        <v>165</v>
      </c>
      <c r="Q221" s="216" t="s">
        <v>165</v>
      </c>
      <c r="R221" s="214" t="s">
        <v>165</v>
      </c>
      <c r="S221" s="214" t="s">
        <v>165</v>
      </c>
      <c r="T221" s="214" t="s">
        <v>165</v>
      </c>
      <c r="U221" s="216" t="s">
        <v>165</v>
      </c>
      <c r="V221" s="214" t="s">
        <v>165</v>
      </c>
      <c r="W221" s="214" t="s">
        <v>165</v>
      </c>
      <c r="X221" s="214" t="s">
        <v>165</v>
      </c>
      <c r="Y221" s="214" t="s">
        <v>165</v>
      </c>
      <c r="Z221" s="214" t="s">
        <v>165</v>
      </c>
    </row>
    <row r="222" spans="1:26" x14ac:dyDescent="0.2">
      <c r="A222" s="129" t="s">
        <v>27</v>
      </c>
      <c r="B222" s="214" t="s">
        <v>165</v>
      </c>
      <c r="C222" s="214" t="s">
        <v>165</v>
      </c>
      <c r="D222" s="214" t="s">
        <v>165</v>
      </c>
      <c r="E222" s="214" t="s">
        <v>165</v>
      </c>
      <c r="F222" s="214" t="s">
        <v>165</v>
      </c>
      <c r="G222" s="214" t="s">
        <v>165</v>
      </c>
      <c r="H222" s="214" t="s">
        <v>165</v>
      </c>
      <c r="I222" s="214" t="s">
        <v>165</v>
      </c>
      <c r="J222" s="214" t="s">
        <v>165</v>
      </c>
      <c r="K222" s="214" t="s">
        <v>165</v>
      </c>
      <c r="L222" s="214" t="s">
        <v>165</v>
      </c>
      <c r="M222" s="214" t="s">
        <v>165</v>
      </c>
      <c r="N222" s="214" t="s">
        <v>165</v>
      </c>
      <c r="O222" s="214" t="s">
        <v>165</v>
      </c>
      <c r="P222" s="214" t="s">
        <v>165</v>
      </c>
      <c r="Q222" s="216" t="s">
        <v>165</v>
      </c>
      <c r="R222" s="214" t="s">
        <v>165</v>
      </c>
      <c r="S222" s="214" t="s">
        <v>165</v>
      </c>
      <c r="T222" s="214" t="s">
        <v>165</v>
      </c>
      <c r="U222" s="216" t="s">
        <v>165</v>
      </c>
      <c r="V222" s="214" t="s">
        <v>165</v>
      </c>
      <c r="W222" s="214" t="s">
        <v>165</v>
      </c>
      <c r="X222" s="214" t="s">
        <v>165</v>
      </c>
      <c r="Y222" s="214" t="s">
        <v>165</v>
      </c>
      <c r="Z222" s="214" t="s">
        <v>165</v>
      </c>
    </row>
    <row r="223" spans="1:26" x14ac:dyDescent="0.2">
      <c r="A223" s="129" t="s">
        <v>28</v>
      </c>
      <c r="B223" s="214" t="s">
        <v>165</v>
      </c>
      <c r="C223" s="214" t="s">
        <v>165</v>
      </c>
      <c r="D223" s="214" t="s">
        <v>165</v>
      </c>
      <c r="E223" s="214" t="s">
        <v>165</v>
      </c>
      <c r="F223" s="214" t="s">
        <v>165</v>
      </c>
      <c r="G223" s="214" t="s">
        <v>165</v>
      </c>
      <c r="H223" s="214" t="s">
        <v>165</v>
      </c>
      <c r="I223" s="214" t="s">
        <v>165</v>
      </c>
      <c r="J223" s="214" t="s">
        <v>165</v>
      </c>
      <c r="K223" s="214" t="s">
        <v>165</v>
      </c>
      <c r="L223" s="214" t="s">
        <v>165</v>
      </c>
      <c r="M223" s="214" t="s">
        <v>165</v>
      </c>
      <c r="N223" s="214" t="s">
        <v>165</v>
      </c>
      <c r="O223" s="214" t="s">
        <v>165</v>
      </c>
      <c r="P223" s="214" t="s">
        <v>165</v>
      </c>
      <c r="Q223" s="216" t="s">
        <v>165</v>
      </c>
      <c r="R223" s="214" t="s">
        <v>165</v>
      </c>
      <c r="S223" s="214" t="s">
        <v>165</v>
      </c>
      <c r="T223" s="214" t="s">
        <v>165</v>
      </c>
      <c r="U223" s="216" t="s">
        <v>165</v>
      </c>
      <c r="V223" s="214" t="s">
        <v>165</v>
      </c>
      <c r="W223" s="214" t="s">
        <v>165</v>
      </c>
      <c r="X223" s="214" t="s">
        <v>165</v>
      </c>
      <c r="Y223" s="214" t="s">
        <v>165</v>
      </c>
      <c r="Z223" s="214" t="s">
        <v>165</v>
      </c>
    </row>
    <row r="224" spans="1:26" x14ac:dyDescent="0.2">
      <c r="A224" s="129" t="s">
        <v>29</v>
      </c>
      <c r="B224" s="214" t="s">
        <v>165</v>
      </c>
      <c r="C224" s="214" t="s">
        <v>165</v>
      </c>
      <c r="D224" s="214" t="s">
        <v>165</v>
      </c>
      <c r="E224" s="214" t="s">
        <v>165</v>
      </c>
      <c r="F224" s="214" t="s">
        <v>165</v>
      </c>
      <c r="G224" s="214" t="s">
        <v>165</v>
      </c>
      <c r="H224" s="214" t="s">
        <v>165</v>
      </c>
      <c r="I224" s="214" t="s">
        <v>165</v>
      </c>
      <c r="J224" s="214" t="s">
        <v>165</v>
      </c>
      <c r="K224" s="214" t="s">
        <v>165</v>
      </c>
      <c r="L224" s="214" t="s">
        <v>165</v>
      </c>
      <c r="M224" s="214" t="s">
        <v>165</v>
      </c>
      <c r="N224" s="214" t="s">
        <v>165</v>
      </c>
      <c r="O224" s="214" t="s">
        <v>165</v>
      </c>
      <c r="P224" s="214" t="s">
        <v>165</v>
      </c>
      <c r="Q224" s="216" t="s">
        <v>165</v>
      </c>
      <c r="R224" s="214" t="s">
        <v>165</v>
      </c>
      <c r="S224" s="214" t="s">
        <v>165</v>
      </c>
      <c r="T224" s="214" t="s">
        <v>165</v>
      </c>
      <c r="U224" s="216" t="s">
        <v>165</v>
      </c>
      <c r="V224" s="214" t="s">
        <v>165</v>
      </c>
      <c r="W224" s="214" t="s">
        <v>165</v>
      </c>
      <c r="X224" s="214" t="s">
        <v>165</v>
      </c>
      <c r="Y224" s="214" t="s">
        <v>165</v>
      </c>
      <c r="Z224" s="214" t="s">
        <v>165</v>
      </c>
    </row>
    <row r="225" spans="1:26" x14ac:dyDescent="0.2">
      <c r="A225" s="129" t="s">
        <v>30</v>
      </c>
      <c r="B225" s="214" t="s">
        <v>165</v>
      </c>
      <c r="C225" s="214" t="s">
        <v>165</v>
      </c>
      <c r="D225" s="214" t="s">
        <v>165</v>
      </c>
      <c r="E225" s="214" t="s">
        <v>165</v>
      </c>
      <c r="F225" s="214" t="s">
        <v>165</v>
      </c>
      <c r="G225" s="214" t="s">
        <v>165</v>
      </c>
      <c r="H225" s="214" t="s">
        <v>165</v>
      </c>
      <c r="I225" s="214" t="s">
        <v>165</v>
      </c>
      <c r="J225" s="214" t="s">
        <v>165</v>
      </c>
      <c r="K225" s="214" t="s">
        <v>165</v>
      </c>
      <c r="L225" s="214" t="s">
        <v>165</v>
      </c>
      <c r="M225" s="214" t="s">
        <v>165</v>
      </c>
      <c r="N225" s="214" t="s">
        <v>165</v>
      </c>
      <c r="O225" s="214" t="s">
        <v>165</v>
      </c>
      <c r="P225" s="214" t="s">
        <v>165</v>
      </c>
      <c r="Q225" s="216" t="s">
        <v>165</v>
      </c>
      <c r="R225" s="214" t="s">
        <v>165</v>
      </c>
      <c r="S225" s="214" t="s">
        <v>165</v>
      </c>
      <c r="T225" s="214" t="s">
        <v>165</v>
      </c>
      <c r="U225" s="216" t="s">
        <v>165</v>
      </c>
      <c r="V225" s="214" t="s">
        <v>165</v>
      </c>
      <c r="W225" s="214" t="s">
        <v>165</v>
      </c>
      <c r="X225" s="214" t="s">
        <v>165</v>
      </c>
      <c r="Y225" s="214" t="s">
        <v>165</v>
      </c>
      <c r="Z225" s="214" t="s">
        <v>165</v>
      </c>
    </row>
    <row r="226" spans="1:26" x14ac:dyDescent="0.2">
      <c r="A226" s="129" t="s">
        <v>37</v>
      </c>
      <c r="B226" s="214" t="s">
        <v>165</v>
      </c>
      <c r="C226" s="214" t="s">
        <v>165</v>
      </c>
      <c r="D226" s="214" t="s">
        <v>165</v>
      </c>
      <c r="E226" s="214" t="s">
        <v>165</v>
      </c>
      <c r="F226" s="214" t="s">
        <v>165</v>
      </c>
      <c r="G226" s="214" t="s">
        <v>165</v>
      </c>
      <c r="H226" s="214" t="s">
        <v>165</v>
      </c>
      <c r="I226" s="214" t="s">
        <v>165</v>
      </c>
      <c r="J226" s="214" t="s">
        <v>165</v>
      </c>
      <c r="K226" s="214" t="s">
        <v>165</v>
      </c>
      <c r="L226" s="214" t="s">
        <v>165</v>
      </c>
      <c r="M226" s="214" t="s">
        <v>165</v>
      </c>
      <c r="N226" s="214" t="s">
        <v>165</v>
      </c>
      <c r="O226" s="214" t="s">
        <v>165</v>
      </c>
      <c r="P226" s="214" t="s">
        <v>165</v>
      </c>
      <c r="Q226" s="216" t="s">
        <v>165</v>
      </c>
      <c r="R226" s="214" t="s">
        <v>165</v>
      </c>
      <c r="S226" s="214" t="s">
        <v>165</v>
      </c>
      <c r="T226" s="214" t="s">
        <v>165</v>
      </c>
      <c r="U226" s="216" t="s">
        <v>165</v>
      </c>
      <c r="V226" s="214" t="s">
        <v>165</v>
      </c>
      <c r="W226" s="214" t="s">
        <v>165</v>
      </c>
      <c r="X226" s="214" t="s">
        <v>165</v>
      </c>
      <c r="Y226" s="214" t="s">
        <v>165</v>
      </c>
      <c r="Z226" s="214" t="s">
        <v>165</v>
      </c>
    </row>
    <row r="227" spans="1:26" x14ac:dyDescent="0.2">
      <c r="A227" s="129" t="s">
        <v>31</v>
      </c>
      <c r="B227" s="214" t="s">
        <v>165</v>
      </c>
      <c r="C227" s="214" t="s">
        <v>165</v>
      </c>
      <c r="D227" s="214" t="s">
        <v>165</v>
      </c>
      <c r="E227" s="214" t="s">
        <v>165</v>
      </c>
      <c r="F227" s="214" t="s">
        <v>165</v>
      </c>
      <c r="G227" s="214" t="s">
        <v>165</v>
      </c>
      <c r="H227" s="214" t="s">
        <v>165</v>
      </c>
      <c r="I227" s="214" t="s">
        <v>165</v>
      </c>
      <c r="J227" s="214" t="s">
        <v>165</v>
      </c>
      <c r="K227" s="214" t="s">
        <v>165</v>
      </c>
      <c r="L227" s="214" t="s">
        <v>165</v>
      </c>
      <c r="M227" s="214" t="s">
        <v>165</v>
      </c>
      <c r="N227" s="214" t="s">
        <v>165</v>
      </c>
      <c r="O227" s="214" t="s">
        <v>165</v>
      </c>
      <c r="P227" s="214" t="s">
        <v>165</v>
      </c>
      <c r="Q227" s="216" t="s">
        <v>165</v>
      </c>
      <c r="R227" s="214" t="s">
        <v>165</v>
      </c>
      <c r="S227" s="214" t="s">
        <v>165</v>
      </c>
      <c r="T227" s="214" t="s">
        <v>165</v>
      </c>
      <c r="U227" s="216" t="s">
        <v>165</v>
      </c>
      <c r="V227" s="214" t="s">
        <v>165</v>
      </c>
      <c r="W227" s="214" t="s">
        <v>165</v>
      </c>
      <c r="X227" s="214" t="s">
        <v>165</v>
      </c>
      <c r="Y227" s="214" t="s">
        <v>165</v>
      </c>
      <c r="Z227" s="214" t="s">
        <v>165</v>
      </c>
    </row>
    <row r="228" spans="1:26" x14ac:dyDescent="0.2">
      <c r="A228" s="129" t="s">
        <v>32</v>
      </c>
      <c r="B228" s="214" t="s">
        <v>165</v>
      </c>
      <c r="C228" s="214" t="s">
        <v>165</v>
      </c>
      <c r="D228" s="214" t="s">
        <v>165</v>
      </c>
      <c r="E228" s="214" t="s">
        <v>165</v>
      </c>
      <c r="F228" s="214" t="s">
        <v>165</v>
      </c>
      <c r="G228" s="214" t="s">
        <v>165</v>
      </c>
      <c r="H228" s="214" t="s">
        <v>165</v>
      </c>
      <c r="I228" s="214" t="s">
        <v>165</v>
      </c>
      <c r="J228" s="214" t="s">
        <v>165</v>
      </c>
      <c r="K228" s="214" t="s">
        <v>165</v>
      </c>
      <c r="L228" s="214" t="s">
        <v>165</v>
      </c>
      <c r="M228" s="214" t="s">
        <v>165</v>
      </c>
      <c r="N228" s="214" t="s">
        <v>165</v>
      </c>
      <c r="O228" s="214" t="s">
        <v>165</v>
      </c>
      <c r="P228" s="214" t="s">
        <v>165</v>
      </c>
      <c r="Q228" s="216" t="s">
        <v>165</v>
      </c>
      <c r="R228" s="214" t="s">
        <v>165</v>
      </c>
      <c r="S228" s="214" t="s">
        <v>165</v>
      </c>
      <c r="T228" s="214" t="s">
        <v>165</v>
      </c>
      <c r="U228" s="216" t="s">
        <v>165</v>
      </c>
      <c r="V228" s="214" t="s">
        <v>165</v>
      </c>
      <c r="W228" s="214" t="s">
        <v>165</v>
      </c>
      <c r="X228" s="214" t="s">
        <v>165</v>
      </c>
      <c r="Y228" s="214" t="s">
        <v>165</v>
      </c>
      <c r="Z228" s="214" t="s">
        <v>165</v>
      </c>
    </row>
    <row r="229" spans="1:26" x14ac:dyDescent="0.2">
      <c r="A229" s="129" t="s">
        <v>33</v>
      </c>
      <c r="B229" s="214" t="s">
        <v>165</v>
      </c>
      <c r="C229" s="214" t="s">
        <v>165</v>
      </c>
      <c r="D229" s="214" t="s">
        <v>165</v>
      </c>
      <c r="E229" s="214" t="s">
        <v>165</v>
      </c>
      <c r="F229" s="214" t="s">
        <v>165</v>
      </c>
      <c r="G229" s="214" t="s">
        <v>165</v>
      </c>
      <c r="H229" s="214" t="s">
        <v>165</v>
      </c>
      <c r="I229" s="214" t="s">
        <v>165</v>
      </c>
      <c r="J229" s="214" t="s">
        <v>165</v>
      </c>
      <c r="K229" s="214" t="s">
        <v>165</v>
      </c>
      <c r="L229" s="214" t="s">
        <v>165</v>
      </c>
      <c r="M229" s="214" t="s">
        <v>165</v>
      </c>
      <c r="N229" s="214" t="s">
        <v>165</v>
      </c>
      <c r="O229" s="214" t="s">
        <v>165</v>
      </c>
      <c r="P229" s="214" t="s">
        <v>165</v>
      </c>
      <c r="Q229" s="216" t="s">
        <v>165</v>
      </c>
      <c r="R229" s="214" t="s">
        <v>165</v>
      </c>
      <c r="S229" s="214" t="s">
        <v>165</v>
      </c>
      <c r="T229" s="214" t="s">
        <v>165</v>
      </c>
      <c r="U229" s="216" t="s">
        <v>165</v>
      </c>
      <c r="V229" s="214" t="s">
        <v>165</v>
      </c>
      <c r="W229" s="214" t="s">
        <v>165</v>
      </c>
      <c r="X229" s="214" t="s">
        <v>165</v>
      </c>
      <c r="Y229" s="214" t="s">
        <v>165</v>
      </c>
      <c r="Z229" s="214" t="s">
        <v>165</v>
      </c>
    </row>
    <row r="230" spans="1:26" x14ac:dyDescent="0.2">
      <c r="A230" s="129" t="s">
        <v>34</v>
      </c>
      <c r="B230" s="214" t="s">
        <v>165</v>
      </c>
      <c r="C230" s="214" t="s">
        <v>165</v>
      </c>
      <c r="D230" s="214" t="s">
        <v>165</v>
      </c>
      <c r="E230" s="214" t="s">
        <v>165</v>
      </c>
      <c r="F230" s="214" t="s">
        <v>165</v>
      </c>
      <c r="G230" s="214" t="s">
        <v>165</v>
      </c>
      <c r="H230" s="214" t="s">
        <v>165</v>
      </c>
      <c r="I230" s="214" t="s">
        <v>165</v>
      </c>
      <c r="J230" s="214" t="s">
        <v>165</v>
      </c>
      <c r="K230" s="214" t="s">
        <v>165</v>
      </c>
      <c r="L230" s="214" t="s">
        <v>165</v>
      </c>
      <c r="M230" s="214" t="s">
        <v>165</v>
      </c>
      <c r="N230" s="214" t="s">
        <v>165</v>
      </c>
      <c r="O230" s="214" t="s">
        <v>165</v>
      </c>
      <c r="P230" s="214" t="s">
        <v>165</v>
      </c>
      <c r="Q230" s="216" t="s">
        <v>165</v>
      </c>
      <c r="R230" s="214" t="s">
        <v>165</v>
      </c>
      <c r="S230" s="214" t="s">
        <v>165</v>
      </c>
      <c r="T230" s="214" t="s">
        <v>165</v>
      </c>
      <c r="U230" s="216" t="s">
        <v>165</v>
      </c>
      <c r="V230" s="214" t="s">
        <v>165</v>
      </c>
      <c r="W230" s="214" t="s">
        <v>165</v>
      </c>
      <c r="X230" s="214" t="s">
        <v>165</v>
      </c>
      <c r="Y230" s="214" t="s">
        <v>165</v>
      </c>
      <c r="Z230" s="214" t="s">
        <v>165</v>
      </c>
    </row>
    <row r="231" spans="1:26" x14ac:dyDescent="0.2">
      <c r="A231" s="129" t="s">
        <v>35</v>
      </c>
      <c r="B231" s="214" t="s">
        <v>165</v>
      </c>
      <c r="C231" s="214" t="s">
        <v>165</v>
      </c>
      <c r="D231" s="214" t="s">
        <v>165</v>
      </c>
      <c r="E231" s="214" t="s">
        <v>165</v>
      </c>
      <c r="F231" s="214" t="s">
        <v>165</v>
      </c>
      <c r="G231" s="214" t="s">
        <v>165</v>
      </c>
      <c r="H231" s="214" t="s">
        <v>165</v>
      </c>
      <c r="I231" s="214" t="s">
        <v>165</v>
      </c>
      <c r="J231" s="214" t="s">
        <v>165</v>
      </c>
      <c r="K231" s="214" t="s">
        <v>165</v>
      </c>
      <c r="L231" s="214" t="s">
        <v>165</v>
      </c>
      <c r="M231" s="214" t="s">
        <v>165</v>
      </c>
      <c r="N231" s="214" t="s">
        <v>165</v>
      </c>
      <c r="O231" s="214" t="s">
        <v>165</v>
      </c>
      <c r="P231" s="214" t="s">
        <v>165</v>
      </c>
      <c r="Q231" s="216" t="s">
        <v>165</v>
      </c>
      <c r="R231" s="214" t="s">
        <v>165</v>
      </c>
      <c r="S231" s="214" t="s">
        <v>165</v>
      </c>
      <c r="T231" s="214" t="s">
        <v>165</v>
      </c>
      <c r="U231" s="216" t="s">
        <v>165</v>
      </c>
      <c r="V231" s="214" t="s">
        <v>165</v>
      </c>
      <c r="W231" s="214" t="s">
        <v>165</v>
      </c>
      <c r="X231" s="214" t="s">
        <v>165</v>
      </c>
      <c r="Y231" s="214" t="s">
        <v>165</v>
      </c>
      <c r="Z231" s="214" t="s">
        <v>165</v>
      </c>
    </row>
    <row r="232" spans="1:26" x14ac:dyDescent="0.2">
      <c r="A232" s="129" t="s">
        <v>36</v>
      </c>
      <c r="B232" s="214" t="s">
        <v>165</v>
      </c>
      <c r="C232" s="214" t="s">
        <v>165</v>
      </c>
      <c r="D232" s="214" t="s">
        <v>165</v>
      </c>
      <c r="E232" s="214" t="s">
        <v>165</v>
      </c>
      <c r="F232" s="214" t="s">
        <v>165</v>
      </c>
      <c r="G232" s="214" t="s">
        <v>165</v>
      </c>
      <c r="H232" s="214" t="s">
        <v>165</v>
      </c>
      <c r="I232" s="214" t="s">
        <v>165</v>
      </c>
      <c r="J232" s="214" t="s">
        <v>165</v>
      </c>
      <c r="K232" s="214" t="s">
        <v>165</v>
      </c>
      <c r="L232" s="214" t="s">
        <v>165</v>
      </c>
      <c r="M232" s="214" t="s">
        <v>165</v>
      </c>
      <c r="N232" s="214" t="s">
        <v>165</v>
      </c>
      <c r="O232" s="214" t="s">
        <v>165</v>
      </c>
      <c r="P232" s="214" t="s">
        <v>165</v>
      </c>
      <c r="Q232" s="216" t="s">
        <v>165</v>
      </c>
      <c r="R232" s="214" t="s">
        <v>165</v>
      </c>
      <c r="S232" s="214" t="s">
        <v>165</v>
      </c>
      <c r="T232" s="214" t="s">
        <v>165</v>
      </c>
      <c r="U232" s="216" t="s">
        <v>165</v>
      </c>
      <c r="V232" s="214" t="s">
        <v>165</v>
      </c>
      <c r="W232" s="214" t="s">
        <v>165</v>
      </c>
      <c r="X232" s="214" t="s">
        <v>165</v>
      </c>
      <c r="Y232" s="214" t="s">
        <v>165</v>
      </c>
      <c r="Z232" s="214" t="s">
        <v>165</v>
      </c>
    </row>
    <row r="233" spans="1:26" x14ac:dyDescent="0.2">
      <c r="A233" s="204" t="s">
        <v>141</v>
      </c>
      <c r="B233" s="214" t="s">
        <v>165</v>
      </c>
      <c r="C233" s="214" t="s">
        <v>165</v>
      </c>
      <c r="D233" s="214" t="s">
        <v>165</v>
      </c>
      <c r="E233" s="214" t="s">
        <v>165</v>
      </c>
      <c r="F233" s="214" t="s">
        <v>165</v>
      </c>
      <c r="G233" s="214" t="s">
        <v>165</v>
      </c>
      <c r="H233" s="214" t="s">
        <v>165</v>
      </c>
      <c r="I233" s="214" t="s">
        <v>165</v>
      </c>
      <c r="J233" s="214" t="s">
        <v>165</v>
      </c>
      <c r="K233" s="214" t="s">
        <v>165</v>
      </c>
      <c r="L233" s="214" t="s">
        <v>165</v>
      </c>
      <c r="M233" s="214" t="s">
        <v>165</v>
      </c>
      <c r="N233" s="214" t="s">
        <v>165</v>
      </c>
      <c r="O233" s="214" t="s">
        <v>165</v>
      </c>
      <c r="P233" s="214" t="s">
        <v>165</v>
      </c>
      <c r="Q233" s="216" t="s">
        <v>165</v>
      </c>
      <c r="R233" s="214" t="s">
        <v>165</v>
      </c>
      <c r="S233" s="214" t="s">
        <v>165</v>
      </c>
      <c r="T233" s="214" t="s">
        <v>165</v>
      </c>
      <c r="U233" s="216" t="s">
        <v>165</v>
      </c>
      <c r="V233" s="214" t="s">
        <v>165</v>
      </c>
      <c r="W233" s="214" t="s">
        <v>165</v>
      </c>
      <c r="X233" s="214" t="s">
        <v>165</v>
      </c>
      <c r="Y233" s="214" t="s">
        <v>165</v>
      </c>
      <c r="Z233" s="214" t="s">
        <v>165</v>
      </c>
    </row>
    <row r="234" spans="1:26" x14ac:dyDescent="0.2">
      <c r="A234" s="205" t="s">
        <v>142</v>
      </c>
      <c r="B234" s="214" t="s">
        <v>165</v>
      </c>
      <c r="C234" s="214" t="s">
        <v>165</v>
      </c>
      <c r="D234" s="214" t="s">
        <v>165</v>
      </c>
      <c r="E234" s="214" t="s">
        <v>165</v>
      </c>
      <c r="F234" s="214" t="s">
        <v>165</v>
      </c>
      <c r="G234" s="214" t="s">
        <v>165</v>
      </c>
      <c r="H234" s="214" t="s">
        <v>165</v>
      </c>
      <c r="I234" s="214" t="s">
        <v>165</v>
      </c>
      <c r="J234" s="214" t="s">
        <v>165</v>
      </c>
      <c r="K234" s="214" t="s">
        <v>165</v>
      </c>
      <c r="L234" s="214" t="s">
        <v>165</v>
      </c>
      <c r="M234" s="214" t="s">
        <v>165</v>
      </c>
      <c r="N234" s="214" t="s">
        <v>165</v>
      </c>
      <c r="O234" s="214" t="s">
        <v>165</v>
      </c>
      <c r="P234" s="214" t="s">
        <v>165</v>
      </c>
      <c r="Q234" s="216" t="s">
        <v>165</v>
      </c>
      <c r="R234" s="214" t="s">
        <v>165</v>
      </c>
      <c r="S234" s="214" t="s">
        <v>165</v>
      </c>
      <c r="T234" s="214" t="s">
        <v>165</v>
      </c>
      <c r="U234" s="216" t="s">
        <v>165</v>
      </c>
      <c r="V234" s="214" t="s">
        <v>165</v>
      </c>
      <c r="W234" s="214" t="s">
        <v>165</v>
      </c>
      <c r="X234" s="214" t="s">
        <v>165</v>
      </c>
      <c r="Y234" s="214" t="s">
        <v>165</v>
      </c>
      <c r="Z234" s="214" t="s">
        <v>165</v>
      </c>
    </row>
    <row r="235" spans="1:26" x14ac:dyDescent="0.2">
      <c r="A235" s="205" t="s">
        <v>160</v>
      </c>
      <c r="B235" s="214" t="s">
        <v>165</v>
      </c>
      <c r="C235" s="214" t="s">
        <v>165</v>
      </c>
      <c r="D235" s="214" t="s">
        <v>165</v>
      </c>
      <c r="E235" s="214" t="s">
        <v>165</v>
      </c>
      <c r="F235" s="214" t="s">
        <v>165</v>
      </c>
      <c r="G235" s="214" t="s">
        <v>165</v>
      </c>
      <c r="H235" s="214" t="s">
        <v>165</v>
      </c>
      <c r="I235" s="214" t="s">
        <v>165</v>
      </c>
      <c r="J235" s="214" t="s">
        <v>165</v>
      </c>
      <c r="K235" s="214" t="s">
        <v>165</v>
      </c>
      <c r="L235" s="214" t="s">
        <v>165</v>
      </c>
      <c r="M235" s="214" t="s">
        <v>165</v>
      </c>
      <c r="N235" s="214" t="s">
        <v>165</v>
      </c>
      <c r="O235" s="214" t="s">
        <v>165</v>
      </c>
      <c r="P235" s="214" t="s">
        <v>165</v>
      </c>
      <c r="Q235" s="216" t="s">
        <v>165</v>
      </c>
      <c r="R235" s="214" t="s">
        <v>165</v>
      </c>
      <c r="S235" s="214" t="s">
        <v>165</v>
      </c>
      <c r="T235" s="214" t="s">
        <v>165</v>
      </c>
      <c r="U235" s="216" t="s">
        <v>165</v>
      </c>
      <c r="V235" s="214" t="s">
        <v>165</v>
      </c>
      <c r="W235" s="214" t="s">
        <v>165</v>
      </c>
      <c r="X235" s="214" t="s">
        <v>165</v>
      </c>
      <c r="Y235" s="214" t="s">
        <v>165</v>
      </c>
      <c r="Z235" s="214" t="s">
        <v>165</v>
      </c>
    </row>
    <row r="236" spans="1:26" x14ac:dyDescent="0.2">
      <c r="A236" s="205" t="s">
        <v>161</v>
      </c>
      <c r="B236" s="214" t="s">
        <v>165</v>
      </c>
      <c r="C236" s="214" t="s">
        <v>165</v>
      </c>
      <c r="D236" s="214" t="s">
        <v>165</v>
      </c>
      <c r="E236" s="214" t="s">
        <v>165</v>
      </c>
      <c r="F236" s="214" t="s">
        <v>165</v>
      </c>
      <c r="G236" s="214" t="s">
        <v>165</v>
      </c>
      <c r="H236" s="214" t="s">
        <v>165</v>
      </c>
      <c r="I236" s="214" t="s">
        <v>165</v>
      </c>
      <c r="J236" s="214" t="s">
        <v>165</v>
      </c>
      <c r="K236" s="214" t="s">
        <v>165</v>
      </c>
      <c r="L236" s="214" t="s">
        <v>165</v>
      </c>
      <c r="M236" s="214" t="s">
        <v>165</v>
      </c>
      <c r="N236" s="214" t="s">
        <v>165</v>
      </c>
      <c r="O236" s="214" t="s">
        <v>165</v>
      </c>
      <c r="P236" s="214" t="s">
        <v>165</v>
      </c>
      <c r="Q236" s="216" t="s">
        <v>165</v>
      </c>
      <c r="R236" s="214" t="s">
        <v>165</v>
      </c>
      <c r="S236" s="214" t="s">
        <v>165</v>
      </c>
      <c r="T236" s="214" t="s">
        <v>165</v>
      </c>
      <c r="U236" s="216" t="s">
        <v>165</v>
      </c>
      <c r="V236" s="214" t="s">
        <v>165</v>
      </c>
      <c r="W236" s="214" t="s">
        <v>165</v>
      </c>
      <c r="X236" s="214" t="s">
        <v>165</v>
      </c>
      <c r="Y236" s="214" t="s">
        <v>165</v>
      </c>
      <c r="Z236" s="214" t="s">
        <v>165</v>
      </c>
    </row>
    <row r="237" spans="1:26" x14ac:dyDescent="0.2">
      <c r="A237" s="204" t="s">
        <v>186</v>
      </c>
      <c r="B237" s="214" t="s">
        <v>165</v>
      </c>
      <c r="C237" s="214" t="s">
        <v>165</v>
      </c>
      <c r="D237" s="214" t="s">
        <v>165</v>
      </c>
      <c r="E237" s="214" t="s">
        <v>165</v>
      </c>
      <c r="F237" s="214" t="s">
        <v>165</v>
      </c>
      <c r="G237" s="214" t="s">
        <v>165</v>
      </c>
      <c r="H237" s="214" t="s">
        <v>165</v>
      </c>
      <c r="I237" s="214" t="s">
        <v>165</v>
      </c>
      <c r="J237" s="214" t="s">
        <v>165</v>
      </c>
      <c r="K237" s="214" t="s">
        <v>165</v>
      </c>
      <c r="L237" s="214" t="s">
        <v>165</v>
      </c>
      <c r="M237" s="214" t="s">
        <v>165</v>
      </c>
      <c r="N237" s="214" t="s">
        <v>165</v>
      </c>
      <c r="O237" s="214" t="s">
        <v>165</v>
      </c>
      <c r="P237" s="214" t="s">
        <v>165</v>
      </c>
      <c r="Q237" s="216" t="s">
        <v>165</v>
      </c>
      <c r="R237" s="214" t="s">
        <v>165</v>
      </c>
      <c r="S237" s="214" t="s">
        <v>165</v>
      </c>
      <c r="T237" s="214" t="s">
        <v>165</v>
      </c>
      <c r="U237" s="216" t="s">
        <v>165</v>
      </c>
      <c r="V237" s="214" t="s">
        <v>165</v>
      </c>
      <c r="W237" s="214" t="s">
        <v>165</v>
      </c>
      <c r="X237" s="214" t="s">
        <v>165</v>
      </c>
      <c r="Y237" s="214" t="s">
        <v>165</v>
      </c>
      <c r="Z237" s="214" t="s">
        <v>165</v>
      </c>
    </row>
    <row r="238" spans="1:26" x14ac:dyDescent="0.2">
      <c r="B238" s="221"/>
    </row>
    <row r="239" spans="1:26" x14ac:dyDescent="0.2">
      <c r="B239" s="219" t="s">
        <v>39</v>
      </c>
      <c r="C239" s="219" t="s">
        <v>39</v>
      </c>
      <c r="D239" s="219" t="s">
        <v>39</v>
      </c>
      <c r="E239" s="219" t="s">
        <v>39</v>
      </c>
      <c r="F239" s="219" t="s">
        <v>39</v>
      </c>
      <c r="G239" s="219" t="s">
        <v>39</v>
      </c>
      <c r="H239" s="219" t="s">
        <v>39</v>
      </c>
      <c r="I239" s="219" t="s">
        <v>39</v>
      </c>
      <c r="J239" s="219" t="s">
        <v>39</v>
      </c>
      <c r="K239" s="219" t="s">
        <v>39</v>
      </c>
      <c r="L239" s="219" t="s">
        <v>39</v>
      </c>
      <c r="M239" s="219" t="s">
        <v>39</v>
      </c>
      <c r="N239" s="219" t="s">
        <v>39</v>
      </c>
      <c r="O239" s="219" t="s">
        <v>39</v>
      </c>
      <c r="P239" s="219" t="s">
        <v>39</v>
      </c>
      <c r="Q239" s="219" t="s">
        <v>39</v>
      </c>
      <c r="R239" s="219" t="s">
        <v>39</v>
      </c>
      <c r="S239" s="219" t="s">
        <v>39</v>
      </c>
      <c r="T239" s="219" t="s">
        <v>39</v>
      </c>
      <c r="U239" s="219" t="s">
        <v>39</v>
      </c>
      <c r="V239" s="219" t="s">
        <v>39</v>
      </c>
      <c r="W239" s="219" t="s">
        <v>39</v>
      </c>
      <c r="X239" s="219" t="s">
        <v>39</v>
      </c>
      <c r="Y239" s="219" t="s">
        <v>39</v>
      </c>
      <c r="Z239" s="219" t="s">
        <v>39</v>
      </c>
    </row>
    <row r="240" spans="1:26" x14ac:dyDescent="0.2">
      <c r="A240" s="129" t="s">
        <v>26</v>
      </c>
      <c r="B240" s="217" t="s">
        <v>165</v>
      </c>
      <c r="C240" s="217" t="s">
        <v>165</v>
      </c>
      <c r="D240" s="217" t="s">
        <v>165</v>
      </c>
      <c r="E240" s="217" t="s">
        <v>165</v>
      </c>
      <c r="F240" s="217" t="s">
        <v>165</v>
      </c>
      <c r="G240" s="217" t="s">
        <v>165</v>
      </c>
      <c r="H240" s="217" t="s">
        <v>165</v>
      </c>
      <c r="I240" s="217" t="s">
        <v>165</v>
      </c>
      <c r="J240" s="217" t="s">
        <v>165</v>
      </c>
      <c r="K240" s="217" t="s">
        <v>165</v>
      </c>
      <c r="L240" s="217" t="s">
        <v>165</v>
      </c>
      <c r="M240" s="217" t="s">
        <v>165</v>
      </c>
      <c r="N240" s="217" t="s">
        <v>165</v>
      </c>
      <c r="O240" s="217" t="s">
        <v>165</v>
      </c>
      <c r="P240" s="217" t="s">
        <v>165</v>
      </c>
      <c r="Q240" s="216" t="s">
        <v>165</v>
      </c>
      <c r="R240" s="217" t="s">
        <v>165</v>
      </c>
      <c r="S240" s="217" t="s">
        <v>165</v>
      </c>
      <c r="T240" s="217" t="s">
        <v>165</v>
      </c>
      <c r="U240" s="216" t="s">
        <v>165</v>
      </c>
      <c r="V240" s="217" t="s">
        <v>165</v>
      </c>
      <c r="W240" s="217" t="s">
        <v>165</v>
      </c>
      <c r="X240" s="217" t="s">
        <v>165</v>
      </c>
      <c r="Y240" s="217" t="s">
        <v>165</v>
      </c>
      <c r="Z240" s="217" t="s">
        <v>165</v>
      </c>
    </row>
    <row r="241" spans="1:26" x14ac:dyDescent="0.2">
      <c r="A241" s="129" t="s">
        <v>27</v>
      </c>
      <c r="B241" s="217" t="s">
        <v>165</v>
      </c>
      <c r="C241" s="217" t="s">
        <v>165</v>
      </c>
      <c r="D241" s="217" t="s">
        <v>165</v>
      </c>
      <c r="E241" s="217" t="s">
        <v>165</v>
      </c>
      <c r="F241" s="217" t="s">
        <v>165</v>
      </c>
      <c r="G241" s="217" t="s">
        <v>165</v>
      </c>
      <c r="H241" s="217" t="s">
        <v>165</v>
      </c>
      <c r="I241" s="217" t="s">
        <v>165</v>
      </c>
      <c r="J241" s="217" t="s">
        <v>165</v>
      </c>
      <c r="K241" s="217" t="s">
        <v>165</v>
      </c>
      <c r="L241" s="217" t="s">
        <v>165</v>
      </c>
      <c r="M241" s="217" t="s">
        <v>165</v>
      </c>
      <c r="N241" s="217" t="s">
        <v>165</v>
      </c>
      <c r="O241" s="217" t="s">
        <v>165</v>
      </c>
      <c r="P241" s="217" t="s">
        <v>165</v>
      </c>
      <c r="Q241" s="216" t="s">
        <v>165</v>
      </c>
      <c r="R241" s="217" t="s">
        <v>165</v>
      </c>
      <c r="S241" s="217" t="s">
        <v>165</v>
      </c>
      <c r="T241" s="217" t="s">
        <v>165</v>
      </c>
      <c r="U241" s="216" t="s">
        <v>165</v>
      </c>
      <c r="V241" s="217" t="s">
        <v>165</v>
      </c>
      <c r="W241" s="217" t="s">
        <v>165</v>
      </c>
      <c r="X241" s="217" t="s">
        <v>165</v>
      </c>
      <c r="Y241" s="217" t="s">
        <v>165</v>
      </c>
      <c r="Z241" s="217" t="s">
        <v>165</v>
      </c>
    </row>
    <row r="242" spans="1:26" x14ac:dyDescent="0.2">
      <c r="A242" s="129" t="s">
        <v>28</v>
      </c>
      <c r="B242" s="217" t="s">
        <v>165</v>
      </c>
      <c r="C242" s="217" t="s">
        <v>165</v>
      </c>
      <c r="D242" s="217" t="s">
        <v>165</v>
      </c>
      <c r="E242" s="217" t="s">
        <v>165</v>
      </c>
      <c r="F242" s="217" t="s">
        <v>165</v>
      </c>
      <c r="G242" s="217" t="s">
        <v>165</v>
      </c>
      <c r="H242" s="217" t="s">
        <v>165</v>
      </c>
      <c r="I242" s="217" t="s">
        <v>165</v>
      </c>
      <c r="J242" s="217" t="s">
        <v>165</v>
      </c>
      <c r="K242" s="217" t="s">
        <v>165</v>
      </c>
      <c r="L242" s="217" t="s">
        <v>165</v>
      </c>
      <c r="M242" s="217" t="s">
        <v>165</v>
      </c>
      <c r="N242" s="217" t="s">
        <v>165</v>
      </c>
      <c r="O242" s="217" t="s">
        <v>165</v>
      </c>
      <c r="P242" s="217" t="s">
        <v>165</v>
      </c>
      <c r="Q242" s="216" t="s">
        <v>165</v>
      </c>
      <c r="R242" s="217" t="s">
        <v>165</v>
      </c>
      <c r="S242" s="217" t="s">
        <v>165</v>
      </c>
      <c r="T242" s="217" t="s">
        <v>165</v>
      </c>
      <c r="U242" s="216" t="s">
        <v>165</v>
      </c>
      <c r="V242" s="217" t="s">
        <v>165</v>
      </c>
      <c r="W242" s="217" t="s">
        <v>165</v>
      </c>
      <c r="X242" s="217" t="s">
        <v>165</v>
      </c>
      <c r="Y242" s="217" t="s">
        <v>165</v>
      </c>
      <c r="Z242" s="217" t="s">
        <v>165</v>
      </c>
    </row>
    <row r="243" spans="1:26" x14ac:dyDescent="0.2">
      <c r="A243" s="129" t="s">
        <v>29</v>
      </c>
      <c r="B243" s="217" t="s">
        <v>165</v>
      </c>
      <c r="C243" s="217" t="s">
        <v>165</v>
      </c>
      <c r="D243" s="217" t="s">
        <v>165</v>
      </c>
      <c r="E243" s="217" t="s">
        <v>165</v>
      </c>
      <c r="F243" s="217" t="s">
        <v>165</v>
      </c>
      <c r="G243" s="217" t="s">
        <v>165</v>
      </c>
      <c r="H243" s="217" t="s">
        <v>165</v>
      </c>
      <c r="I243" s="217" t="s">
        <v>165</v>
      </c>
      <c r="J243" s="217" t="s">
        <v>165</v>
      </c>
      <c r="K243" s="217" t="s">
        <v>165</v>
      </c>
      <c r="L243" s="217" t="s">
        <v>165</v>
      </c>
      <c r="M243" s="217" t="s">
        <v>165</v>
      </c>
      <c r="N243" s="217" t="s">
        <v>165</v>
      </c>
      <c r="O243" s="217" t="s">
        <v>165</v>
      </c>
      <c r="P243" s="217" t="s">
        <v>165</v>
      </c>
      <c r="Q243" s="216" t="s">
        <v>165</v>
      </c>
      <c r="R243" s="217" t="s">
        <v>165</v>
      </c>
      <c r="S243" s="217" t="s">
        <v>165</v>
      </c>
      <c r="T243" s="217" t="s">
        <v>165</v>
      </c>
      <c r="U243" s="216" t="s">
        <v>165</v>
      </c>
      <c r="V243" s="217" t="s">
        <v>165</v>
      </c>
      <c r="W243" s="217" t="s">
        <v>165</v>
      </c>
      <c r="X243" s="217" t="s">
        <v>165</v>
      </c>
      <c r="Y243" s="217" t="s">
        <v>165</v>
      </c>
      <c r="Z243" s="217" t="s">
        <v>165</v>
      </c>
    </row>
    <row r="244" spans="1:26" x14ac:dyDescent="0.2">
      <c r="A244" s="129" t="s">
        <v>30</v>
      </c>
      <c r="B244" s="217" t="s">
        <v>165</v>
      </c>
      <c r="C244" s="217" t="s">
        <v>165</v>
      </c>
      <c r="D244" s="217" t="s">
        <v>165</v>
      </c>
      <c r="E244" s="217" t="s">
        <v>165</v>
      </c>
      <c r="F244" s="217" t="s">
        <v>165</v>
      </c>
      <c r="G244" s="217" t="s">
        <v>165</v>
      </c>
      <c r="H244" s="217" t="s">
        <v>165</v>
      </c>
      <c r="I244" s="217" t="s">
        <v>165</v>
      </c>
      <c r="J244" s="217" t="s">
        <v>165</v>
      </c>
      <c r="K244" s="217" t="s">
        <v>165</v>
      </c>
      <c r="L244" s="217" t="s">
        <v>165</v>
      </c>
      <c r="M244" s="217" t="s">
        <v>165</v>
      </c>
      <c r="N244" s="217" t="s">
        <v>165</v>
      </c>
      <c r="O244" s="217" t="s">
        <v>165</v>
      </c>
      <c r="P244" s="217" t="s">
        <v>165</v>
      </c>
      <c r="Q244" s="216" t="s">
        <v>165</v>
      </c>
      <c r="R244" s="217" t="s">
        <v>165</v>
      </c>
      <c r="S244" s="217" t="s">
        <v>165</v>
      </c>
      <c r="T244" s="217" t="s">
        <v>165</v>
      </c>
      <c r="U244" s="216" t="s">
        <v>165</v>
      </c>
      <c r="V244" s="217" t="s">
        <v>165</v>
      </c>
      <c r="W244" s="217" t="s">
        <v>165</v>
      </c>
      <c r="X244" s="217" t="s">
        <v>165</v>
      </c>
      <c r="Y244" s="217" t="s">
        <v>165</v>
      </c>
      <c r="Z244" s="217" t="s">
        <v>165</v>
      </c>
    </row>
    <row r="245" spans="1:26" x14ac:dyDescent="0.2">
      <c r="A245" s="129" t="s">
        <v>37</v>
      </c>
      <c r="B245" s="217" t="s">
        <v>165</v>
      </c>
      <c r="C245" s="217" t="s">
        <v>165</v>
      </c>
      <c r="D245" s="217" t="s">
        <v>165</v>
      </c>
      <c r="E245" s="217" t="s">
        <v>165</v>
      </c>
      <c r="F245" s="217" t="s">
        <v>165</v>
      </c>
      <c r="G245" s="217" t="s">
        <v>165</v>
      </c>
      <c r="H245" s="217" t="s">
        <v>165</v>
      </c>
      <c r="I245" s="217" t="s">
        <v>165</v>
      </c>
      <c r="J245" s="217" t="s">
        <v>165</v>
      </c>
      <c r="K245" s="217" t="s">
        <v>165</v>
      </c>
      <c r="L245" s="217" t="s">
        <v>165</v>
      </c>
      <c r="M245" s="217" t="s">
        <v>165</v>
      </c>
      <c r="N245" s="217" t="s">
        <v>165</v>
      </c>
      <c r="O245" s="217" t="s">
        <v>165</v>
      </c>
      <c r="P245" s="217" t="s">
        <v>165</v>
      </c>
      <c r="Q245" s="216" t="s">
        <v>165</v>
      </c>
      <c r="R245" s="217" t="s">
        <v>165</v>
      </c>
      <c r="S245" s="217" t="s">
        <v>165</v>
      </c>
      <c r="T245" s="217" t="s">
        <v>165</v>
      </c>
      <c r="U245" s="216" t="s">
        <v>165</v>
      </c>
      <c r="V245" s="217" t="s">
        <v>165</v>
      </c>
      <c r="W245" s="217" t="s">
        <v>165</v>
      </c>
      <c r="X245" s="217" t="s">
        <v>165</v>
      </c>
      <c r="Y245" s="217" t="s">
        <v>165</v>
      </c>
      <c r="Z245" s="217" t="s">
        <v>165</v>
      </c>
    </row>
    <row r="246" spans="1:26" x14ac:dyDescent="0.2">
      <c r="A246" s="129" t="s">
        <v>31</v>
      </c>
      <c r="B246" s="217" t="s">
        <v>165</v>
      </c>
      <c r="C246" s="217" t="s">
        <v>165</v>
      </c>
      <c r="D246" s="217" t="s">
        <v>165</v>
      </c>
      <c r="E246" s="217" t="s">
        <v>165</v>
      </c>
      <c r="F246" s="217" t="s">
        <v>165</v>
      </c>
      <c r="G246" s="217" t="s">
        <v>165</v>
      </c>
      <c r="H246" s="217" t="s">
        <v>165</v>
      </c>
      <c r="I246" s="217" t="s">
        <v>165</v>
      </c>
      <c r="J246" s="217" t="s">
        <v>165</v>
      </c>
      <c r="K246" s="217" t="s">
        <v>165</v>
      </c>
      <c r="L246" s="217" t="s">
        <v>165</v>
      </c>
      <c r="M246" s="217" t="s">
        <v>165</v>
      </c>
      <c r="N246" s="217" t="s">
        <v>165</v>
      </c>
      <c r="O246" s="217" t="s">
        <v>165</v>
      </c>
      <c r="P246" s="217" t="s">
        <v>165</v>
      </c>
      <c r="Q246" s="216" t="s">
        <v>165</v>
      </c>
      <c r="R246" s="217" t="s">
        <v>165</v>
      </c>
      <c r="S246" s="217" t="s">
        <v>165</v>
      </c>
      <c r="T246" s="217" t="s">
        <v>165</v>
      </c>
      <c r="U246" s="216" t="s">
        <v>165</v>
      </c>
      <c r="V246" s="217" t="s">
        <v>165</v>
      </c>
      <c r="W246" s="217" t="s">
        <v>165</v>
      </c>
      <c r="X246" s="217" t="s">
        <v>165</v>
      </c>
      <c r="Y246" s="217" t="s">
        <v>165</v>
      </c>
      <c r="Z246" s="217" t="s">
        <v>165</v>
      </c>
    </row>
    <row r="247" spans="1:26" x14ac:dyDescent="0.2">
      <c r="A247" s="129" t="s">
        <v>32</v>
      </c>
      <c r="B247" s="217" t="s">
        <v>165</v>
      </c>
      <c r="C247" s="217" t="s">
        <v>165</v>
      </c>
      <c r="D247" s="217" t="s">
        <v>165</v>
      </c>
      <c r="E247" s="217" t="s">
        <v>165</v>
      </c>
      <c r="F247" s="217" t="s">
        <v>165</v>
      </c>
      <c r="G247" s="217" t="s">
        <v>165</v>
      </c>
      <c r="H247" s="217" t="s">
        <v>165</v>
      </c>
      <c r="I247" s="217" t="s">
        <v>165</v>
      </c>
      <c r="J247" s="217" t="s">
        <v>165</v>
      </c>
      <c r="K247" s="217" t="s">
        <v>165</v>
      </c>
      <c r="L247" s="217" t="s">
        <v>165</v>
      </c>
      <c r="M247" s="217" t="s">
        <v>165</v>
      </c>
      <c r="N247" s="217" t="s">
        <v>165</v>
      </c>
      <c r="O247" s="217" t="s">
        <v>165</v>
      </c>
      <c r="P247" s="217" t="s">
        <v>165</v>
      </c>
      <c r="Q247" s="216" t="s">
        <v>165</v>
      </c>
      <c r="R247" s="217" t="s">
        <v>165</v>
      </c>
      <c r="S247" s="217" t="s">
        <v>165</v>
      </c>
      <c r="T247" s="217" t="s">
        <v>165</v>
      </c>
      <c r="U247" s="216" t="s">
        <v>165</v>
      </c>
      <c r="V247" s="217" t="s">
        <v>165</v>
      </c>
      <c r="W247" s="217" t="s">
        <v>165</v>
      </c>
      <c r="X247" s="217" t="s">
        <v>165</v>
      </c>
      <c r="Y247" s="217" t="s">
        <v>165</v>
      </c>
      <c r="Z247" s="217" t="s">
        <v>165</v>
      </c>
    </row>
    <row r="248" spans="1:26" x14ac:dyDescent="0.2">
      <c r="A248" s="129" t="s">
        <v>33</v>
      </c>
      <c r="B248" s="217" t="s">
        <v>165</v>
      </c>
      <c r="C248" s="217" t="s">
        <v>165</v>
      </c>
      <c r="D248" s="217" t="s">
        <v>165</v>
      </c>
      <c r="E248" s="217" t="s">
        <v>165</v>
      </c>
      <c r="F248" s="217" t="s">
        <v>165</v>
      </c>
      <c r="G248" s="217" t="s">
        <v>165</v>
      </c>
      <c r="H248" s="217" t="s">
        <v>165</v>
      </c>
      <c r="I248" s="217" t="s">
        <v>165</v>
      </c>
      <c r="J248" s="217" t="s">
        <v>165</v>
      </c>
      <c r="K248" s="217" t="s">
        <v>165</v>
      </c>
      <c r="L248" s="217" t="s">
        <v>165</v>
      </c>
      <c r="M248" s="217" t="s">
        <v>165</v>
      </c>
      <c r="N248" s="217" t="s">
        <v>165</v>
      </c>
      <c r="O248" s="217" t="s">
        <v>165</v>
      </c>
      <c r="P248" s="217" t="s">
        <v>165</v>
      </c>
      <c r="Q248" s="216" t="s">
        <v>165</v>
      </c>
      <c r="R248" s="217" t="s">
        <v>165</v>
      </c>
      <c r="S248" s="217" t="s">
        <v>165</v>
      </c>
      <c r="T248" s="217" t="s">
        <v>165</v>
      </c>
      <c r="U248" s="216" t="s">
        <v>165</v>
      </c>
      <c r="V248" s="217" t="s">
        <v>165</v>
      </c>
      <c r="W248" s="217" t="s">
        <v>165</v>
      </c>
      <c r="X248" s="217" t="s">
        <v>165</v>
      </c>
      <c r="Y248" s="217" t="s">
        <v>165</v>
      </c>
      <c r="Z248" s="217" t="s">
        <v>165</v>
      </c>
    </row>
    <row r="249" spans="1:26" x14ac:dyDescent="0.2">
      <c r="A249" s="129" t="s">
        <v>34</v>
      </c>
      <c r="B249" s="217" t="s">
        <v>165</v>
      </c>
      <c r="C249" s="217" t="s">
        <v>165</v>
      </c>
      <c r="D249" s="217" t="s">
        <v>165</v>
      </c>
      <c r="E249" s="217" t="s">
        <v>165</v>
      </c>
      <c r="F249" s="217" t="s">
        <v>165</v>
      </c>
      <c r="G249" s="217" t="s">
        <v>165</v>
      </c>
      <c r="H249" s="217" t="s">
        <v>165</v>
      </c>
      <c r="I249" s="217" t="s">
        <v>165</v>
      </c>
      <c r="J249" s="217" t="s">
        <v>165</v>
      </c>
      <c r="K249" s="217" t="s">
        <v>165</v>
      </c>
      <c r="L249" s="217" t="s">
        <v>165</v>
      </c>
      <c r="M249" s="217" t="s">
        <v>165</v>
      </c>
      <c r="N249" s="217" t="s">
        <v>165</v>
      </c>
      <c r="O249" s="217" t="s">
        <v>165</v>
      </c>
      <c r="P249" s="217" t="s">
        <v>165</v>
      </c>
      <c r="Q249" s="216" t="s">
        <v>165</v>
      </c>
      <c r="R249" s="217" t="s">
        <v>165</v>
      </c>
      <c r="S249" s="217" t="s">
        <v>165</v>
      </c>
      <c r="T249" s="217" t="s">
        <v>165</v>
      </c>
      <c r="U249" s="216" t="s">
        <v>165</v>
      </c>
      <c r="V249" s="217" t="s">
        <v>165</v>
      </c>
      <c r="W249" s="217" t="s">
        <v>165</v>
      </c>
      <c r="X249" s="217" t="s">
        <v>165</v>
      </c>
      <c r="Y249" s="217" t="s">
        <v>165</v>
      </c>
      <c r="Z249" s="217" t="s">
        <v>165</v>
      </c>
    </row>
    <row r="250" spans="1:26" x14ac:dyDescent="0.2">
      <c r="A250" s="129" t="s">
        <v>35</v>
      </c>
      <c r="B250" s="217" t="s">
        <v>165</v>
      </c>
      <c r="C250" s="217" t="s">
        <v>165</v>
      </c>
      <c r="D250" s="217" t="s">
        <v>165</v>
      </c>
      <c r="E250" s="217" t="s">
        <v>165</v>
      </c>
      <c r="F250" s="217" t="s">
        <v>165</v>
      </c>
      <c r="G250" s="217" t="s">
        <v>165</v>
      </c>
      <c r="H250" s="217" t="s">
        <v>165</v>
      </c>
      <c r="I250" s="217" t="s">
        <v>165</v>
      </c>
      <c r="J250" s="217" t="s">
        <v>165</v>
      </c>
      <c r="K250" s="217" t="s">
        <v>165</v>
      </c>
      <c r="L250" s="217" t="s">
        <v>165</v>
      </c>
      <c r="M250" s="217" t="s">
        <v>165</v>
      </c>
      <c r="N250" s="217" t="s">
        <v>165</v>
      </c>
      <c r="O250" s="217" t="s">
        <v>165</v>
      </c>
      <c r="P250" s="217" t="s">
        <v>165</v>
      </c>
      <c r="Q250" s="216" t="s">
        <v>165</v>
      </c>
      <c r="R250" s="217" t="s">
        <v>165</v>
      </c>
      <c r="S250" s="217" t="s">
        <v>165</v>
      </c>
      <c r="T250" s="217" t="s">
        <v>165</v>
      </c>
      <c r="U250" s="216" t="s">
        <v>165</v>
      </c>
      <c r="V250" s="217" t="s">
        <v>165</v>
      </c>
      <c r="W250" s="217" t="s">
        <v>165</v>
      </c>
      <c r="X250" s="217" t="s">
        <v>165</v>
      </c>
      <c r="Y250" s="217" t="s">
        <v>165</v>
      </c>
      <c r="Z250" s="217" t="s">
        <v>165</v>
      </c>
    </row>
    <row r="251" spans="1:26" x14ac:dyDescent="0.2">
      <c r="A251" s="129" t="s">
        <v>36</v>
      </c>
      <c r="B251" s="217" t="s">
        <v>165</v>
      </c>
      <c r="C251" s="217" t="s">
        <v>165</v>
      </c>
      <c r="D251" s="217" t="s">
        <v>165</v>
      </c>
      <c r="E251" s="217" t="s">
        <v>165</v>
      </c>
      <c r="F251" s="217" t="s">
        <v>165</v>
      </c>
      <c r="G251" s="217" t="s">
        <v>165</v>
      </c>
      <c r="H251" s="217" t="s">
        <v>165</v>
      </c>
      <c r="I251" s="217" t="s">
        <v>165</v>
      </c>
      <c r="J251" s="217" t="s">
        <v>165</v>
      </c>
      <c r="K251" s="217" t="s">
        <v>165</v>
      </c>
      <c r="L251" s="217" t="s">
        <v>165</v>
      </c>
      <c r="M251" s="217" t="s">
        <v>165</v>
      </c>
      <c r="N251" s="217" t="s">
        <v>165</v>
      </c>
      <c r="O251" s="217" t="s">
        <v>165</v>
      </c>
      <c r="P251" s="217" t="s">
        <v>165</v>
      </c>
      <c r="Q251" s="216" t="s">
        <v>165</v>
      </c>
      <c r="R251" s="217" t="s">
        <v>165</v>
      </c>
      <c r="S251" s="217" t="s">
        <v>165</v>
      </c>
      <c r="T251" s="217" t="s">
        <v>165</v>
      </c>
      <c r="U251" s="216" t="s">
        <v>165</v>
      </c>
      <c r="V251" s="217" t="s">
        <v>165</v>
      </c>
      <c r="W251" s="217" t="s">
        <v>165</v>
      </c>
      <c r="X251" s="217" t="s">
        <v>165</v>
      </c>
      <c r="Y251" s="217" t="s">
        <v>165</v>
      </c>
      <c r="Z251" s="217" t="s">
        <v>165</v>
      </c>
    </row>
    <row r="252" spans="1:26" x14ac:dyDescent="0.2">
      <c r="A252" s="204" t="s">
        <v>141</v>
      </c>
      <c r="B252" s="217" t="s">
        <v>165</v>
      </c>
      <c r="C252" s="217" t="s">
        <v>165</v>
      </c>
      <c r="D252" s="217" t="s">
        <v>165</v>
      </c>
      <c r="E252" s="217" t="s">
        <v>165</v>
      </c>
      <c r="F252" s="217" t="s">
        <v>165</v>
      </c>
      <c r="G252" s="217" t="s">
        <v>165</v>
      </c>
      <c r="H252" s="217" t="s">
        <v>165</v>
      </c>
      <c r="I252" s="217" t="s">
        <v>165</v>
      </c>
      <c r="J252" s="217" t="s">
        <v>165</v>
      </c>
      <c r="K252" s="217" t="s">
        <v>165</v>
      </c>
      <c r="L252" s="217" t="s">
        <v>165</v>
      </c>
      <c r="M252" s="217" t="s">
        <v>165</v>
      </c>
      <c r="N252" s="217" t="s">
        <v>165</v>
      </c>
      <c r="O252" s="217" t="s">
        <v>165</v>
      </c>
      <c r="P252" s="217" t="s">
        <v>165</v>
      </c>
      <c r="Q252" s="216" t="s">
        <v>165</v>
      </c>
      <c r="R252" s="217" t="s">
        <v>165</v>
      </c>
      <c r="S252" s="217" t="s">
        <v>165</v>
      </c>
      <c r="T252" s="217" t="s">
        <v>165</v>
      </c>
      <c r="U252" s="216" t="s">
        <v>165</v>
      </c>
      <c r="V252" s="217" t="s">
        <v>165</v>
      </c>
      <c r="W252" s="217" t="s">
        <v>165</v>
      </c>
      <c r="X252" s="217" t="s">
        <v>165</v>
      </c>
      <c r="Y252" s="217" t="s">
        <v>165</v>
      </c>
      <c r="Z252" s="217" t="s">
        <v>165</v>
      </c>
    </row>
    <row r="253" spans="1:26" x14ac:dyDescent="0.2">
      <c r="A253" s="205" t="s">
        <v>142</v>
      </c>
      <c r="B253" s="217" t="s">
        <v>165</v>
      </c>
      <c r="C253" s="217" t="s">
        <v>165</v>
      </c>
      <c r="D253" s="217" t="s">
        <v>165</v>
      </c>
      <c r="E253" s="217" t="s">
        <v>165</v>
      </c>
      <c r="F253" s="217" t="s">
        <v>165</v>
      </c>
      <c r="G253" s="217" t="s">
        <v>165</v>
      </c>
      <c r="H253" s="217" t="s">
        <v>165</v>
      </c>
      <c r="I253" s="217" t="s">
        <v>165</v>
      </c>
      <c r="J253" s="217" t="s">
        <v>165</v>
      </c>
      <c r="K253" s="217" t="s">
        <v>165</v>
      </c>
      <c r="L253" s="217" t="s">
        <v>165</v>
      </c>
      <c r="M253" s="217" t="s">
        <v>165</v>
      </c>
      <c r="N253" s="217" t="s">
        <v>165</v>
      </c>
      <c r="O253" s="217" t="s">
        <v>165</v>
      </c>
      <c r="P253" s="217" t="s">
        <v>165</v>
      </c>
      <c r="Q253" s="216" t="s">
        <v>165</v>
      </c>
      <c r="R253" s="217" t="s">
        <v>165</v>
      </c>
      <c r="S253" s="217" t="s">
        <v>165</v>
      </c>
      <c r="T253" s="217" t="s">
        <v>165</v>
      </c>
      <c r="U253" s="216" t="s">
        <v>165</v>
      </c>
      <c r="V253" s="217" t="s">
        <v>165</v>
      </c>
      <c r="W253" s="217" t="s">
        <v>165</v>
      </c>
      <c r="X253" s="217" t="s">
        <v>165</v>
      </c>
      <c r="Y253" s="217" t="s">
        <v>165</v>
      </c>
      <c r="Z253" s="217" t="s">
        <v>165</v>
      </c>
    </row>
    <row r="254" spans="1:26" x14ac:dyDescent="0.2">
      <c r="A254" s="205" t="s">
        <v>160</v>
      </c>
      <c r="B254" s="217" t="s">
        <v>165</v>
      </c>
      <c r="C254" s="217" t="s">
        <v>165</v>
      </c>
      <c r="D254" s="217" t="s">
        <v>165</v>
      </c>
      <c r="E254" s="217" t="s">
        <v>165</v>
      </c>
      <c r="F254" s="217" t="s">
        <v>165</v>
      </c>
      <c r="G254" s="217" t="s">
        <v>165</v>
      </c>
      <c r="H254" s="217" t="s">
        <v>165</v>
      </c>
      <c r="I254" s="217" t="s">
        <v>165</v>
      </c>
      <c r="J254" s="217" t="s">
        <v>165</v>
      </c>
      <c r="K254" s="217" t="s">
        <v>165</v>
      </c>
      <c r="L254" s="217" t="s">
        <v>165</v>
      </c>
      <c r="M254" s="217" t="s">
        <v>165</v>
      </c>
      <c r="N254" s="217" t="s">
        <v>165</v>
      </c>
      <c r="O254" s="217" t="s">
        <v>165</v>
      </c>
      <c r="P254" s="217" t="s">
        <v>165</v>
      </c>
      <c r="Q254" s="216" t="s">
        <v>165</v>
      </c>
      <c r="R254" s="217" t="s">
        <v>165</v>
      </c>
      <c r="S254" s="217" t="s">
        <v>165</v>
      </c>
      <c r="T254" s="217" t="s">
        <v>165</v>
      </c>
      <c r="U254" s="216" t="s">
        <v>165</v>
      </c>
      <c r="V254" s="217" t="s">
        <v>165</v>
      </c>
      <c r="W254" s="217" t="s">
        <v>165</v>
      </c>
      <c r="X254" s="217" t="s">
        <v>165</v>
      </c>
      <c r="Y254" s="217" t="s">
        <v>165</v>
      </c>
      <c r="Z254" s="217" t="s">
        <v>165</v>
      </c>
    </row>
    <row r="255" spans="1:26" x14ac:dyDescent="0.2">
      <c r="A255" s="205" t="s">
        <v>161</v>
      </c>
      <c r="B255" s="217" t="s">
        <v>165</v>
      </c>
      <c r="C255" s="217" t="s">
        <v>165</v>
      </c>
      <c r="D255" s="217" t="s">
        <v>165</v>
      </c>
      <c r="E255" s="217" t="s">
        <v>165</v>
      </c>
      <c r="F255" s="217" t="s">
        <v>165</v>
      </c>
      <c r="G255" s="217" t="s">
        <v>165</v>
      </c>
      <c r="H255" s="217" t="s">
        <v>165</v>
      </c>
      <c r="I255" s="217" t="s">
        <v>165</v>
      </c>
      <c r="J255" s="217" t="s">
        <v>165</v>
      </c>
      <c r="K255" s="217" t="s">
        <v>165</v>
      </c>
      <c r="L255" s="217" t="s">
        <v>165</v>
      </c>
      <c r="M255" s="217" t="s">
        <v>165</v>
      </c>
      <c r="N255" s="217" t="s">
        <v>165</v>
      </c>
      <c r="O255" s="217" t="s">
        <v>165</v>
      </c>
      <c r="P255" s="217" t="s">
        <v>165</v>
      </c>
      <c r="Q255" s="216" t="s">
        <v>165</v>
      </c>
      <c r="R255" s="217" t="s">
        <v>165</v>
      </c>
      <c r="S255" s="217" t="s">
        <v>165</v>
      </c>
      <c r="T255" s="217" t="s">
        <v>165</v>
      </c>
      <c r="U255" s="216" t="s">
        <v>165</v>
      </c>
      <c r="V255" s="217" t="s">
        <v>165</v>
      </c>
      <c r="W255" s="217" t="s">
        <v>165</v>
      </c>
      <c r="X255" s="217" t="s">
        <v>165</v>
      </c>
      <c r="Y255" s="217" t="s">
        <v>165</v>
      </c>
      <c r="Z255" s="217" t="s">
        <v>165</v>
      </c>
    </row>
    <row r="256" spans="1:26" x14ac:dyDescent="0.2">
      <c r="A256" s="204" t="s">
        <v>186</v>
      </c>
      <c r="B256" s="217" t="s">
        <v>165</v>
      </c>
      <c r="C256" s="217" t="s">
        <v>165</v>
      </c>
      <c r="D256" s="217" t="s">
        <v>165</v>
      </c>
      <c r="E256" s="217" t="s">
        <v>165</v>
      </c>
      <c r="F256" s="217" t="s">
        <v>165</v>
      </c>
      <c r="G256" s="217" t="s">
        <v>165</v>
      </c>
      <c r="H256" s="217" t="s">
        <v>165</v>
      </c>
      <c r="I256" s="217" t="s">
        <v>165</v>
      </c>
      <c r="J256" s="217" t="s">
        <v>165</v>
      </c>
      <c r="K256" s="217" t="s">
        <v>165</v>
      </c>
      <c r="L256" s="217" t="s">
        <v>165</v>
      </c>
      <c r="M256" s="217" t="s">
        <v>165</v>
      </c>
      <c r="N256" s="217" t="s">
        <v>165</v>
      </c>
      <c r="O256" s="217" t="s">
        <v>165</v>
      </c>
      <c r="P256" s="217" t="s">
        <v>165</v>
      </c>
      <c r="Q256" s="216" t="s">
        <v>165</v>
      </c>
      <c r="R256" s="217" t="s">
        <v>165</v>
      </c>
      <c r="S256" s="217" t="s">
        <v>165</v>
      </c>
      <c r="T256" s="217" t="s">
        <v>165</v>
      </c>
      <c r="U256" s="216" t="s">
        <v>165</v>
      </c>
      <c r="V256" s="217" t="s">
        <v>165</v>
      </c>
      <c r="W256" s="217" t="s">
        <v>165</v>
      </c>
      <c r="X256" s="217" t="s">
        <v>165</v>
      </c>
      <c r="Y256" s="217" t="s">
        <v>165</v>
      </c>
      <c r="Z256" s="217" t="s">
        <v>165</v>
      </c>
    </row>
    <row r="257" spans="1:26" s="207" customFormat="1" x14ac:dyDescent="0.2">
      <c r="A257" s="206"/>
      <c r="B257" s="220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  <c r="Z257" s="222"/>
    </row>
  </sheetData>
  <mergeCells count="6">
    <mergeCell ref="A87:B88"/>
    <mergeCell ref="A130:B131"/>
    <mergeCell ref="A173:B174"/>
    <mergeCell ref="A216:B217"/>
    <mergeCell ref="A1:B2"/>
    <mergeCell ref="A44:B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123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0.13400000000000001</v>
      </c>
      <c r="D7" s="116">
        <v>1.7000000000000001E-2</v>
      </c>
      <c r="F7" s="8" t="s">
        <v>12</v>
      </c>
      <c r="G7" s="13">
        <f>174+7</f>
        <v>181</v>
      </c>
      <c r="H7" s="14">
        <f t="shared" ref="H7:H18" si="0">G7/$G$20</f>
        <v>0.13407407407407407</v>
      </c>
      <c r="I7" s="13">
        <f>12+6</f>
        <v>18</v>
      </c>
      <c r="J7" s="15">
        <f t="shared" ref="J7:J18" si="1">I7/$I$20</f>
        <v>1.6666666666666666E-2</v>
      </c>
      <c r="L7" s="11">
        <f t="shared" ref="L7:L18" si="2">+G7+I7</f>
        <v>199</v>
      </c>
      <c r="M7" s="56">
        <f t="shared" ref="M7:M18" si="3">+L7/($G$20+$I$20)</f>
        <v>8.1893004115226334E-2</v>
      </c>
    </row>
    <row r="8" spans="2:26" x14ac:dyDescent="0.2">
      <c r="B8" s="117" t="s">
        <v>27</v>
      </c>
      <c r="C8" s="118">
        <v>0.20200000000000001</v>
      </c>
      <c r="D8" s="119">
        <v>1.9E-2</v>
      </c>
      <c r="F8" s="6" t="s">
        <v>1</v>
      </c>
      <c r="G8" s="9">
        <f>253+19</f>
        <v>272</v>
      </c>
      <c r="H8" s="16">
        <f t="shared" si="0"/>
        <v>0.20148148148148148</v>
      </c>
      <c r="I8" s="9">
        <f>14+7</f>
        <v>21</v>
      </c>
      <c r="J8" s="17">
        <f t="shared" si="1"/>
        <v>1.9444444444444445E-2</v>
      </c>
      <c r="L8" s="11">
        <f t="shared" si="2"/>
        <v>293</v>
      </c>
      <c r="M8" s="56">
        <f t="shared" si="3"/>
        <v>0.12057613168724279</v>
      </c>
    </row>
    <row r="9" spans="2:26" x14ac:dyDescent="0.2">
      <c r="B9" s="117" t="s">
        <v>28</v>
      </c>
      <c r="C9" s="120">
        <v>0.19500000000000001</v>
      </c>
      <c r="D9" s="119">
        <v>1.2999999999999999E-2</v>
      </c>
      <c r="F9" s="6" t="s">
        <v>2</v>
      </c>
      <c r="G9" s="9">
        <f>247+16</f>
        <v>263</v>
      </c>
      <c r="H9" s="16">
        <f t="shared" si="0"/>
        <v>0.1948148148148148</v>
      </c>
      <c r="I9" s="9">
        <f>13+1</f>
        <v>14</v>
      </c>
      <c r="J9" s="17">
        <f t="shared" si="1"/>
        <v>1.2962962962962963E-2</v>
      </c>
      <c r="L9" s="11">
        <f t="shared" si="2"/>
        <v>277</v>
      </c>
      <c r="M9" s="56">
        <f t="shared" si="3"/>
        <v>0.11399176954732511</v>
      </c>
    </row>
    <row r="10" spans="2:26" x14ac:dyDescent="0.2">
      <c r="B10" s="117" t="s">
        <v>29</v>
      </c>
      <c r="C10" s="120">
        <v>7.9000000000000001E-2</v>
      </c>
      <c r="D10" s="119">
        <v>1.6E-2</v>
      </c>
      <c r="F10" s="6" t="s">
        <v>3</v>
      </c>
      <c r="G10" s="9">
        <f>93+13</f>
        <v>106</v>
      </c>
      <c r="H10" s="16">
        <f t="shared" si="0"/>
        <v>7.8518518518518515E-2</v>
      </c>
      <c r="I10" s="9">
        <f>16+1</f>
        <v>17</v>
      </c>
      <c r="J10" s="17">
        <f t="shared" si="1"/>
        <v>1.5740740740740739E-2</v>
      </c>
      <c r="L10" s="11">
        <f t="shared" si="2"/>
        <v>123</v>
      </c>
      <c r="M10" s="56">
        <f t="shared" si="3"/>
        <v>5.0617283950617285E-2</v>
      </c>
    </row>
    <row r="11" spans="2:26" x14ac:dyDescent="0.2">
      <c r="B11" s="117" t="s">
        <v>30</v>
      </c>
      <c r="C11" s="120">
        <v>2.5999999999999999E-2</v>
      </c>
      <c r="D11" s="119">
        <v>1.6E-2</v>
      </c>
      <c r="F11" s="6" t="s">
        <v>4</v>
      </c>
      <c r="G11" s="9">
        <f>32+3</f>
        <v>35</v>
      </c>
      <c r="H11" s="16">
        <f t="shared" si="0"/>
        <v>2.5925925925925925E-2</v>
      </c>
      <c r="I11" s="9">
        <f>17+0</f>
        <v>17</v>
      </c>
      <c r="J11" s="17">
        <f t="shared" si="1"/>
        <v>1.5740740740740739E-2</v>
      </c>
      <c r="L11" s="11">
        <f t="shared" si="2"/>
        <v>52</v>
      </c>
      <c r="M11" s="56">
        <f t="shared" si="3"/>
        <v>2.1399176954732511E-2</v>
      </c>
    </row>
    <row r="12" spans="2:26" x14ac:dyDescent="0.2">
      <c r="B12" s="117" t="s">
        <v>37</v>
      </c>
      <c r="C12" s="120">
        <v>2.8000000000000001E-2</v>
      </c>
      <c r="D12" s="119">
        <v>0.04</v>
      </c>
      <c r="F12" s="6" t="s">
        <v>5</v>
      </c>
      <c r="G12" s="9">
        <f>35+3</f>
        <v>38</v>
      </c>
      <c r="H12" s="16">
        <f t="shared" si="0"/>
        <v>2.8148148148148148E-2</v>
      </c>
      <c r="I12" s="9">
        <f>42+1</f>
        <v>43</v>
      </c>
      <c r="J12" s="17">
        <f t="shared" si="1"/>
        <v>3.9814814814814817E-2</v>
      </c>
      <c r="L12" s="11">
        <f t="shared" si="2"/>
        <v>81</v>
      </c>
      <c r="M12" s="56">
        <f t="shared" si="3"/>
        <v>3.3333333333333333E-2</v>
      </c>
    </row>
    <row r="13" spans="2:26" x14ac:dyDescent="0.2">
      <c r="B13" s="117" t="s">
        <v>31</v>
      </c>
      <c r="C13" s="120">
        <v>2.9000000000000001E-2</v>
      </c>
      <c r="D13" s="119">
        <v>3.9E-2</v>
      </c>
      <c r="F13" s="6" t="s">
        <v>6</v>
      </c>
      <c r="G13" s="9">
        <f>33+6</f>
        <v>39</v>
      </c>
      <c r="H13" s="16">
        <f t="shared" si="0"/>
        <v>2.8888888888888888E-2</v>
      </c>
      <c r="I13" s="9">
        <f>42+0</f>
        <v>42</v>
      </c>
      <c r="J13" s="17">
        <f t="shared" si="1"/>
        <v>3.888888888888889E-2</v>
      </c>
      <c r="L13" s="11">
        <f t="shared" si="2"/>
        <v>81</v>
      </c>
      <c r="M13" s="56">
        <f t="shared" si="3"/>
        <v>3.3333333333333333E-2</v>
      </c>
    </row>
    <row r="14" spans="2:26" x14ac:dyDescent="0.2">
      <c r="B14" s="117" t="s">
        <v>32</v>
      </c>
      <c r="C14" s="120">
        <v>0.03</v>
      </c>
      <c r="D14" s="119">
        <v>0.03</v>
      </c>
      <c r="F14" s="6" t="s">
        <v>7</v>
      </c>
      <c r="G14" s="9">
        <f>36+5</f>
        <v>41</v>
      </c>
      <c r="H14" s="16">
        <f t="shared" si="0"/>
        <v>3.037037037037037E-2</v>
      </c>
      <c r="I14" s="9">
        <f>30+2</f>
        <v>32</v>
      </c>
      <c r="J14" s="17">
        <f t="shared" si="1"/>
        <v>2.9629629629629631E-2</v>
      </c>
      <c r="L14" s="11">
        <f t="shared" si="2"/>
        <v>73</v>
      </c>
      <c r="M14" s="56">
        <f t="shared" si="3"/>
        <v>3.0041152263374487E-2</v>
      </c>
    </row>
    <row r="15" spans="2:26" x14ac:dyDescent="0.2">
      <c r="B15" s="117" t="s">
        <v>33</v>
      </c>
      <c r="C15" s="120">
        <v>0.02</v>
      </c>
      <c r="D15" s="119">
        <v>6.6000000000000003E-2</v>
      </c>
      <c r="F15" s="6" t="s">
        <v>8</v>
      </c>
      <c r="G15" s="9">
        <f>18+9</f>
        <v>27</v>
      </c>
      <c r="H15" s="16">
        <f t="shared" si="0"/>
        <v>0.02</v>
      </c>
      <c r="I15" s="9">
        <f>66+5</f>
        <v>71</v>
      </c>
      <c r="J15" s="17">
        <f t="shared" si="1"/>
        <v>6.5740740740740738E-2</v>
      </c>
      <c r="L15" s="11">
        <f t="shared" si="2"/>
        <v>98</v>
      </c>
      <c r="M15" s="56">
        <f t="shared" si="3"/>
        <v>4.0329218106995884E-2</v>
      </c>
    </row>
    <row r="16" spans="2:26" x14ac:dyDescent="0.2">
      <c r="B16" s="117" t="s">
        <v>34</v>
      </c>
      <c r="C16" s="120">
        <v>2.1999999999999999E-2</v>
      </c>
      <c r="D16" s="119">
        <v>0.17799999999999999</v>
      </c>
      <c r="F16" s="6" t="s">
        <v>9</v>
      </c>
      <c r="G16" s="9">
        <f>28+2</f>
        <v>30</v>
      </c>
      <c r="H16" s="16">
        <f t="shared" si="0"/>
        <v>2.2222222222222223E-2</v>
      </c>
      <c r="I16" s="9">
        <f>182+10</f>
        <v>192</v>
      </c>
      <c r="J16" s="17">
        <f t="shared" si="1"/>
        <v>0.17777777777777778</v>
      </c>
      <c r="L16" s="11">
        <f t="shared" si="2"/>
        <v>222</v>
      </c>
      <c r="M16" s="56">
        <f t="shared" si="3"/>
        <v>9.1358024691358022E-2</v>
      </c>
    </row>
    <row r="17" spans="2:13" x14ac:dyDescent="0.2">
      <c r="B17" s="117" t="s">
        <v>35</v>
      </c>
      <c r="C17" s="120">
        <v>1.6E-2</v>
      </c>
      <c r="D17" s="119">
        <v>0.22600000000000001</v>
      </c>
      <c r="F17" s="6" t="s">
        <v>10</v>
      </c>
      <c r="G17" s="9">
        <f>18+4</f>
        <v>22</v>
      </c>
      <c r="H17" s="16">
        <f t="shared" si="0"/>
        <v>1.6296296296296295E-2</v>
      </c>
      <c r="I17" s="9">
        <f>225+19</f>
        <v>244</v>
      </c>
      <c r="J17" s="17">
        <f t="shared" si="1"/>
        <v>0.22592592592592592</v>
      </c>
      <c r="L17" s="11">
        <f t="shared" si="2"/>
        <v>266</v>
      </c>
      <c r="M17" s="56">
        <f t="shared" si="3"/>
        <v>0.10946502057613169</v>
      </c>
    </row>
    <row r="18" spans="2:13" ht="13.5" thickBot="1" x14ac:dyDescent="0.25">
      <c r="B18" s="121" t="s">
        <v>36</v>
      </c>
      <c r="C18" s="122">
        <v>1.4E-2</v>
      </c>
      <c r="D18" s="123">
        <v>0.13200000000000001</v>
      </c>
      <c r="F18" s="7" t="s">
        <v>11</v>
      </c>
      <c r="G18" s="18">
        <f>18+1</f>
        <v>19</v>
      </c>
      <c r="H18" s="19">
        <f t="shared" si="0"/>
        <v>1.4074074074074074E-2</v>
      </c>
      <c r="I18" s="18">
        <f>132+10</f>
        <v>142</v>
      </c>
      <c r="J18" s="20">
        <f t="shared" si="1"/>
        <v>0.13148148148148148</v>
      </c>
      <c r="L18" s="11">
        <f t="shared" si="2"/>
        <v>161</v>
      </c>
      <c r="M18" s="56">
        <f t="shared" si="3"/>
        <v>6.6255144032921806E-2</v>
      </c>
    </row>
    <row r="19" spans="2:13" ht="14.25" thickTop="1" thickBot="1" x14ac:dyDescent="0.25">
      <c r="B19" s="124"/>
      <c r="C19" s="125">
        <f>SUM(C7:C18)</f>
        <v>0.79500000000000015</v>
      </c>
      <c r="D19" s="126">
        <f>SUM(D7:D18)</f>
        <v>0.79200000000000004</v>
      </c>
      <c r="F19" s="1" t="s">
        <v>124</v>
      </c>
      <c r="H19" s="21">
        <f>SUM(H7:H18)</f>
        <v>0.79481481481481486</v>
      </c>
      <c r="J19" s="21">
        <f>SUM(J7:J18)</f>
        <v>0.78981481481481497</v>
      </c>
    </row>
    <row r="20" spans="2:13" ht="13.5" thickTop="1" x14ac:dyDescent="0.2">
      <c r="F20" s="1" t="s">
        <v>21</v>
      </c>
      <c r="G20" s="11">
        <f>1240+110</f>
        <v>1350</v>
      </c>
      <c r="H20" s="21"/>
      <c r="I20" s="11">
        <f>1000+80</f>
        <v>1080</v>
      </c>
      <c r="J20" s="21"/>
    </row>
    <row r="21" spans="2:13" x14ac:dyDescent="0.2">
      <c r="F21" s="1" t="s">
        <v>133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181</v>
      </c>
      <c r="H62" s="14">
        <f>AVERAGE(H7)</f>
        <v>0.13407407407407407</v>
      </c>
      <c r="I62" s="13">
        <f t="shared" ref="I62:I73" si="9">+I7+I25+I43</f>
        <v>18</v>
      </c>
      <c r="J62" s="15">
        <f>+AVERAGE(J7)</f>
        <v>1.6666666666666666E-2</v>
      </c>
    </row>
    <row r="63" spans="6:10" x14ac:dyDescent="0.2">
      <c r="F63" s="6" t="s">
        <v>27</v>
      </c>
      <c r="G63" s="9">
        <f t="shared" si="8"/>
        <v>272</v>
      </c>
      <c r="H63" s="16">
        <f>AVERAGE(H8)</f>
        <v>0.20148148148148148</v>
      </c>
      <c r="I63" s="9">
        <f t="shared" si="9"/>
        <v>21</v>
      </c>
      <c r="J63" s="17">
        <f>+AVERAGE(J8)</f>
        <v>1.9444444444444445E-2</v>
      </c>
    </row>
    <row r="64" spans="6:10" x14ac:dyDescent="0.2">
      <c r="F64" s="6" t="s">
        <v>28</v>
      </c>
      <c r="G64" s="9">
        <f t="shared" si="8"/>
        <v>263</v>
      </c>
      <c r="H64" s="16">
        <f t="shared" ref="H64:H72" si="10">AVERAGE(H9)</f>
        <v>0.1948148148148148</v>
      </c>
      <c r="I64" s="9">
        <f t="shared" si="9"/>
        <v>14</v>
      </c>
      <c r="J64" s="17">
        <f t="shared" ref="J64:J72" si="11">+AVERAGE(J9)</f>
        <v>1.2962962962962963E-2</v>
      </c>
    </row>
    <row r="65" spans="6:10" x14ac:dyDescent="0.2">
      <c r="F65" s="6" t="s">
        <v>29</v>
      </c>
      <c r="G65" s="9">
        <f t="shared" si="8"/>
        <v>106</v>
      </c>
      <c r="H65" s="16">
        <f t="shared" si="10"/>
        <v>7.8518518518518515E-2</v>
      </c>
      <c r="I65" s="9">
        <f t="shared" si="9"/>
        <v>17</v>
      </c>
      <c r="J65" s="17">
        <f t="shared" si="11"/>
        <v>1.5740740740740739E-2</v>
      </c>
    </row>
    <row r="66" spans="6:10" x14ac:dyDescent="0.2">
      <c r="F66" s="6" t="s">
        <v>30</v>
      </c>
      <c r="G66" s="9">
        <f t="shared" si="8"/>
        <v>35</v>
      </c>
      <c r="H66" s="16">
        <f t="shared" si="10"/>
        <v>2.5925925925925925E-2</v>
      </c>
      <c r="I66" s="9">
        <f t="shared" si="9"/>
        <v>17</v>
      </c>
      <c r="J66" s="17">
        <f t="shared" si="11"/>
        <v>1.5740740740740739E-2</v>
      </c>
    </row>
    <row r="67" spans="6:10" x14ac:dyDescent="0.2">
      <c r="F67" s="6" t="s">
        <v>37</v>
      </c>
      <c r="G67" s="9">
        <f t="shared" si="8"/>
        <v>38</v>
      </c>
      <c r="H67" s="16">
        <f t="shared" si="10"/>
        <v>2.8148148148148148E-2</v>
      </c>
      <c r="I67" s="9">
        <f t="shared" si="9"/>
        <v>43</v>
      </c>
      <c r="J67" s="17">
        <f t="shared" si="11"/>
        <v>3.9814814814814817E-2</v>
      </c>
    </row>
    <row r="68" spans="6:10" x14ac:dyDescent="0.2">
      <c r="F68" s="6" t="s">
        <v>31</v>
      </c>
      <c r="G68" s="9">
        <f t="shared" si="8"/>
        <v>39</v>
      </c>
      <c r="H68" s="16">
        <f t="shared" si="10"/>
        <v>2.8888888888888888E-2</v>
      </c>
      <c r="I68" s="9">
        <f t="shared" si="9"/>
        <v>42</v>
      </c>
      <c r="J68" s="17">
        <f t="shared" si="11"/>
        <v>3.888888888888889E-2</v>
      </c>
    </row>
    <row r="69" spans="6:10" x14ac:dyDescent="0.2">
      <c r="F69" s="6" t="s">
        <v>32</v>
      </c>
      <c r="G69" s="9">
        <f t="shared" si="8"/>
        <v>41</v>
      </c>
      <c r="H69" s="16">
        <f t="shared" si="10"/>
        <v>3.037037037037037E-2</v>
      </c>
      <c r="I69" s="9">
        <f t="shared" si="9"/>
        <v>32</v>
      </c>
      <c r="J69" s="17">
        <f t="shared" si="11"/>
        <v>2.9629629629629631E-2</v>
      </c>
    </row>
    <row r="70" spans="6:10" x14ac:dyDescent="0.2">
      <c r="F70" s="6" t="s">
        <v>33</v>
      </c>
      <c r="G70" s="9">
        <f t="shared" si="8"/>
        <v>27</v>
      </c>
      <c r="H70" s="16">
        <f t="shared" si="10"/>
        <v>0.02</v>
      </c>
      <c r="I70" s="9">
        <f t="shared" si="9"/>
        <v>71</v>
      </c>
      <c r="J70" s="17">
        <f t="shared" si="11"/>
        <v>6.5740740740740738E-2</v>
      </c>
    </row>
    <row r="71" spans="6:10" x14ac:dyDescent="0.2">
      <c r="F71" s="6" t="s">
        <v>34</v>
      </c>
      <c r="G71" s="9">
        <f t="shared" si="8"/>
        <v>30</v>
      </c>
      <c r="H71" s="16">
        <f t="shared" si="10"/>
        <v>2.2222222222222223E-2</v>
      </c>
      <c r="I71" s="9">
        <f t="shared" si="9"/>
        <v>192</v>
      </c>
      <c r="J71" s="17">
        <f t="shared" si="11"/>
        <v>0.17777777777777778</v>
      </c>
    </row>
    <row r="72" spans="6:10" x14ac:dyDescent="0.2">
      <c r="F72" s="6" t="s">
        <v>35</v>
      </c>
      <c r="G72" s="9">
        <f t="shared" si="8"/>
        <v>22</v>
      </c>
      <c r="H72" s="16">
        <f t="shared" si="10"/>
        <v>1.6296296296296295E-2</v>
      </c>
      <c r="I72" s="9">
        <f t="shared" si="9"/>
        <v>244</v>
      </c>
      <c r="J72" s="17">
        <f t="shared" si="11"/>
        <v>0.22592592592592592</v>
      </c>
    </row>
    <row r="73" spans="6:10" ht="13.5" thickBot="1" x14ac:dyDescent="0.25">
      <c r="F73" s="7" t="s">
        <v>36</v>
      </c>
      <c r="G73" s="18">
        <f t="shared" si="8"/>
        <v>19</v>
      </c>
      <c r="H73" s="65">
        <f>AVERAGE(H18)</f>
        <v>1.4074074074074074E-2</v>
      </c>
      <c r="I73" s="18">
        <f t="shared" si="9"/>
        <v>142</v>
      </c>
      <c r="J73" s="20">
        <f>+AVERAGE(J18)</f>
        <v>0.13148148148148148</v>
      </c>
    </row>
    <row r="74" spans="6:10" ht="13.5" thickTop="1" x14ac:dyDescent="0.2">
      <c r="F74" s="12" t="s">
        <v>25</v>
      </c>
      <c r="H74" s="21">
        <f>SUM(H62:H73)</f>
        <v>0.79481481481481486</v>
      </c>
      <c r="J74" s="21">
        <f>SUM(J62:J73)</f>
        <v>0.78981481481481497</v>
      </c>
    </row>
    <row r="75" spans="6:10" x14ac:dyDescent="0.2">
      <c r="F75" s="1" t="s">
        <v>21</v>
      </c>
      <c r="G75" s="64">
        <f>AVERAGE(G20,G38,G56)</f>
        <v>1350</v>
      </c>
      <c r="H75" s="21"/>
      <c r="I75" s="11">
        <f>AVERAGE(I20,I38,I56)</f>
        <v>1080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Z11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52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6.9000000000000006E-2</v>
      </c>
      <c r="D7" s="116">
        <v>8.0000000000000002E-3</v>
      </c>
      <c r="F7" s="8" t="s">
        <v>12</v>
      </c>
      <c r="G7" s="13">
        <f>37+210+37+24</f>
        <v>308</v>
      </c>
      <c r="H7" s="14">
        <f t="shared" ref="H7:H18" si="0">G7/$G$20</f>
        <v>9.1967751567632122E-2</v>
      </c>
      <c r="I7" s="13">
        <f>3+4</f>
        <v>7</v>
      </c>
      <c r="J7" s="15">
        <f t="shared" ref="J7:J18" si="1">I7/$I$20</f>
        <v>2.1250758955676987E-3</v>
      </c>
      <c r="L7" s="11">
        <f t="shared" ref="L7:L18" si="2">+G7+I7</f>
        <v>315</v>
      </c>
      <c r="M7" s="56">
        <f t="shared" ref="M7:M18" si="3">+L7/($G$20+$I$20)</f>
        <v>4.7418335089567963E-2</v>
      </c>
    </row>
    <row r="8" spans="2:26" x14ac:dyDescent="0.2">
      <c r="B8" s="117" t="s">
        <v>27</v>
      </c>
      <c r="C8" s="118">
        <v>0.156</v>
      </c>
      <c r="D8" s="119">
        <v>2.4E-2</v>
      </c>
      <c r="F8" s="6" t="s">
        <v>1</v>
      </c>
      <c r="G8" s="9">
        <f>89+432+88+74</f>
        <v>683</v>
      </c>
      <c r="H8" s="16">
        <f t="shared" si="0"/>
        <v>0.20394147506718424</v>
      </c>
      <c r="I8" s="9">
        <f>32+8</f>
        <v>40</v>
      </c>
      <c r="J8" s="17">
        <f t="shared" si="1"/>
        <v>1.2143290831815421E-2</v>
      </c>
      <c r="L8" s="11">
        <f t="shared" si="2"/>
        <v>723</v>
      </c>
      <c r="M8" s="56">
        <f t="shared" si="3"/>
        <v>0.10883636911034171</v>
      </c>
    </row>
    <row r="9" spans="2:26" x14ac:dyDescent="0.2">
      <c r="B9" s="117" t="s">
        <v>28</v>
      </c>
      <c r="C9" s="120">
        <v>0.13</v>
      </c>
      <c r="D9" s="119">
        <v>3.2000000000000001E-2</v>
      </c>
      <c r="F9" s="6" t="s">
        <v>2</v>
      </c>
      <c r="G9" s="9">
        <f>48+290+126+130</f>
        <v>594</v>
      </c>
      <c r="H9" s="16">
        <f t="shared" si="0"/>
        <v>0.17736637802329053</v>
      </c>
      <c r="I9" s="9">
        <f>37+10</f>
        <v>47</v>
      </c>
      <c r="J9" s="17">
        <f t="shared" si="1"/>
        <v>1.426836672738312E-2</v>
      </c>
      <c r="L9" s="11">
        <f t="shared" si="2"/>
        <v>641</v>
      </c>
      <c r="M9" s="56">
        <f t="shared" si="3"/>
        <v>9.6492548547343071E-2</v>
      </c>
    </row>
    <row r="10" spans="2:26" x14ac:dyDescent="0.2">
      <c r="B10" s="117" t="s">
        <v>29</v>
      </c>
      <c r="C10" s="120">
        <v>4.5999999999999999E-2</v>
      </c>
      <c r="D10" s="119">
        <v>3.1E-2</v>
      </c>
      <c r="F10" s="6" t="s">
        <v>3</v>
      </c>
      <c r="G10" s="9">
        <f>9+77+13+24</f>
        <v>123</v>
      </c>
      <c r="H10" s="16">
        <f t="shared" si="0"/>
        <v>3.6727381307853094E-2</v>
      </c>
      <c r="I10" s="9">
        <f>50+34</f>
        <v>84</v>
      </c>
      <c r="J10" s="17">
        <f t="shared" si="1"/>
        <v>2.5500910746812388E-2</v>
      </c>
      <c r="L10" s="11">
        <f t="shared" si="2"/>
        <v>207</v>
      </c>
      <c r="M10" s="56">
        <f t="shared" si="3"/>
        <v>3.1160620201716092E-2</v>
      </c>
    </row>
    <row r="11" spans="2:26" x14ac:dyDescent="0.2">
      <c r="B11" s="117" t="s">
        <v>30</v>
      </c>
      <c r="C11" s="120">
        <v>4.3999999999999997E-2</v>
      </c>
      <c r="D11" s="119">
        <v>3.6999999999999998E-2</v>
      </c>
      <c r="F11" s="6" t="s">
        <v>4</v>
      </c>
      <c r="G11" s="9">
        <f>15+76+8+21</f>
        <v>120</v>
      </c>
      <c r="H11" s="16">
        <f t="shared" si="0"/>
        <v>3.5831591519856675E-2</v>
      </c>
      <c r="I11" s="9">
        <f>97+17</f>
        <v>114</v>
      </c>
      <c r="J11" s="17">
        <f t="shared" si="1"/>
        <v>3.4608378870673952E-2</v>
      </c>
      <c r="L11" s="11">
        <f t="shared" si="2"/>
        <v>234</v>
      </c>
      <c r="M11" s="56">
        <f t="shared" si="3"/>
        <v>3.5225048923679059E-2</v>
      </c>
    </row>
    <row r="12" spans="2:26" x14ac:dyDescent="0.2">
      <c r="B12" s="117" t="s">
        <v>37</v>
      </c>
      <c r="C12" s="120">
        <v>4.5999999999999999E-2</v>
      </c>
      <c r="D12" s="119">
        <v>7.6999999999999999E-2</v>
      </c>
      <c r="F12" s="6" t="s">
        <v>5</v>
      </c>
      <c r="G12" s="9">
        <f>17+61+17+14</f>
        <v>109</v>
      </c>
      <c r="H12" s="16">
        <f t="shared" si="0"/>
        <v>3.2547028963869809E-2</v>
      </c>
      <c r="I12" s="9">
        <f>176+44</f>
        <v>220</v>
      </c>
      <c r="J12" s="17">
        <f t="shared" si="1"/>
        <v>6.6788099574984827E-2</v>
      </c>
      <c r="L12" s="11">
        <f t="shared" si="2"/>
        <v>329</v>
      </c>
      <c r="M12" s="56">
        <f t="shared" si="3"/>
        <v>4.9525816649104319E-2</v>
      </c>
    </row>
    <row r="13" spans="2:26" x14ac:dyDescent="0.2">
      <c r="B13" s="117" t="s">
        <v>31</v>
      </c>
      <c r="C13" s="120">
        <v>8.6999999999999994E-2</v>
      </c>
      <c r="D13" s="119">
        <v>0.09</v>
      </c>
      <c r="F13" s="6" t="s">
        <v>6</v>
      </c>
      <c r="G13" s="9">
        <f>33+151+41+43</f>
        <v>268</v>
      </c>
      <c r="H13" s="16">
        <f t="shared" si="0"/>
        <v>8.0023887727679904E-2</v>
      </c>
      <c r="I13" s="9">
        <f>162+94</f>
        <v>256</v>
      </c>
      <c r="J13" s="17">
        <f t="shared" si="1"/>
        <v>7.7717061323618705E-2</v>
      </c>
      <c r="L13" s="11">
        <f t="shared" si="2"/>
        <v>524</v>
      </c>
      <c r="M13" s="56">
        <f t="shared" si="3"/>
        <v>7.8880024085503542E-2</v>
      </c>
    </row>
    <row r="14" spans="2:26" x14ac:dyDescent="0.2">
      <c r="B14" s="117" t="s">
        <v>32</v>
      </c>
      <c r="C14" s="120">
        <v>8.1000000000000003E-2</v>
      </c>
      <c r="D14" s="119">
        <v>5.6000000000000001E-2</v>
      </c>
      <c r="F14" s="6" t="s">
        <v>7</v>
      </c>
      <c r="G14" s="9">
        <f>29+114+48+52</f>
        <v>243</v>
      </c>
      <c r="H14" s="16">
        <f t="shared" si="0"/>
        <v>7.2558972827709761E-2</v>
      </c>
      <c r="I14" s="9">
        <f>97+39</f>
        <v>136</v>
      </c>
      <c r="J14" s="17">
        <f t="shared" si="1"/>
        <v>4.1287188828172436E-2</v>
      </c>
      <c r="L14" s="11">
        <f t="shared" si="2"/>
        <v>379</v>
      </c>
      <c r="M14" s="56">
        <f t="shared" si="3"/>
        <v>5.70525365045913E-2</v>
      </c>
    </row>
    <row r="15" spans="2:26" x14ac:dyDescent="0.2">
      <c r="B15" s="117" t="s">
        <v>33</v>
      </c>
      <c r="C15" s="120">
        <v>5.5E-2</v>
      </c>
      <c r="D15" s="119">
        <v>6.3E-2</v>
      </c>
      <c r="F15" s="6" t="s">
        <v>8</v>
      </c>
      <c r="G15" s="9">
        <f>10+60+39+25</f>
        <v>134</v>
      </c>
      <c r="H15" s="16">
        <f t="shared" si="0"/>
        <v>4.0011943863839952E-2</v>
      </c>
      <c r="I15" s="9">
        <f>113+22</f>
        <v>135</v>
      </c>
      <c r="J15" s="17">
        <f t="shared" si="1"/>
        <v>4.0983606557377046E-2</v>
      </c>
      <c r="L15" s="11">
        <f t="shared" si="2"/>
        <v>269</v>
      </c>
      <c r="M15" s="56">
        <f t="shared" si="3"/>
        <v>4.0493752822519949E-2</v>
      </c>
    </row>
    <row r="16" spans="2:26" x14ac:dyDescent="0.2">
      <c r="B16" s="117" t="s">
        <v>34</v>
      </c>
      <c r="C16" s="120">
        <v>4.1000000000000002E-2</v>
      </c>
      <c r="D16" s="119">
        <v>7.6999999999999999E-2</v>
      </c>
      <c r="F16" s="6" t="s">
        <v>9</v>
      </c>
      <c r="G16" s="9">
        <f>10+58+13+11</f>
        <v>92</v>
      </c>
      <c r="H16" s="16">
        <f t="shared" si="0"/>
        <v>2.7470886831890116E-2</v>
      </c>
      <c r="I16" s="9">
        <f>239+70</f>
        <v>309</v>
      </c>
      <c r="J16" s="17">
        <f t="shared" si="1"/>
        <v>9.3806921675774133E-2</v>
      </c>
      <c r="L16" s="11">
        <f t="shared" si="2"/>
        <v>401</v>
      </c>
      <c r="M16" s="56">
        <f t="shared" si="3"/>
        <v>6.0364293241005569E-2</v>
      </c>
    </row>
    <row r="17" spans="2:13" x14ac:dyDescent="0.2">
      <c r="B17" s="117" t="s">
        <v>35</v>
      </c>
      <c r="C17" s="120">
        <v>3.5000000000000003E-2</v>
      </c>
      <c r="D17" s="119">
        <v>0.154</v>
      </c>
      <c r="F17" s="6" t="s">
        <v>10</v>
      </c>
      <c r="G17" s="9">
        <f>10+56+13+12</f>
        <v>91</v>
      </c>
      <c r="H17" s="16">
        <f t="shared" si="0"/>
        <v>2.7172290235891312E-2</v>
      </c>
      <c r="I17" s="9">
        <f>454+153</f>
        <v>607</v>
      </c>
      <c r="J17" s="17">
        <f t="shared" si="1"/>
        <v>0.18427443837279903</v>
      </c>
      <c r="L17" s="11">
        <f t="shared" si="2"/>
        <v>698</v>
      </c>
      <c r="M17" s="56">
        <f t="shared" si="3"/>
        <v>0.10507300918259822</v>
      </c>
    </row>
    <row r="18" spans="2:13" ht="13.5" thickBot="1" x14ac:dyDescent="0.25">
      <c r="B18" s="121" t="s">
        <v>36</v>
      </c>
      <c r="C18" s="122">
        <v>4.8000000000000001E-2</v>
      </c>
      <c r="D18" s="123">
        <v>0.159</v>
      </c>
      <c r="F18" s="7" t="s">
        <v>11</v>
      </c>
      <c r="G18" s="18">
        <f>6+80+7+15</f>
        <v>108</v>
      </c>
      <c r="H18" s="19">
        <f t="shared" si="0"/>
        <v>3.2248432367871005E-2</v>
      </c>
      <c r="I18" s="18">
        <f>391+243</f>
        <v>634</v>
      </c>
      <c r="J18" s="20">
        <f t="shared" si="1"/>
        <v>0.19247115968427445</v>
      </c>
      <c r="L18" s="11">
        <f t="shared" si="2"/>
        <v>742</v>
      </c>
      <c r="M18" s="56">
        <f t="shared" si="3"/>
        <v>0.11169652265542676</v>
      </c>
    </row>
    <row r="19" spans="2:13" ht="14.25" thickTop="1" thickBot="1" x14ac:dyDescent="0.25">
      <c r="B19" s="124"/>
      <c r="C19" s="125">
        <f>SUM(C7:C18)</f>
        <v>0.83800000000000008</v>
      </c>
      <c r="D19" s="126">
        <f>SUM(D7:D18)</f>
        <v>0.80800000000000005</v>
      </c>
      <c r="F19" s="1" t="s">
        <v>53</v>
      </c>
      <c r="H19" s="21">
        <f>SUM(H7:H18)</f>
        <v>0.85786802030456855</v>
      </c>
      <c r="J19" s="21">
        <f>SUM(J7:J18)</f>
        <v>0.78597449908925321</v>
      </c>
    </row>
    <row r="20" spans="2:13" ht="13.5" thickTop="1" x14ac:dyDescent="0.2">
      <c r="F20" s="1" t="s">
        <v>21</v>
      </c>
      <c r="G20" s="11">
        <f>310+1621+713+705</f>
        <v>3349</v>
      </c>
      <c r="H20" s="21"/>
      <c r="I20" s="11">
        <f>2125+1169</f>
        <v>3294</v>
      </c>
      <c r="J20" s="21"/>
    </row>
    <row r="21" spans="2:13" x14ac:dyDescent="0.2">
      <c r="F21" s="1" t="s">
        <v>80</v>
      </c>
      <c r="H21" s="21"/>
      <c r="J21" s="21"/>
    </row>
    <row r="22" spans="2:13" ht="13.5" thickBot="1" x14ac:dyDescent="0.25">
      <c r="B22" s="66" t="s">
        <v>167</v>
      </c>
      <c r="F22" s="1"/>
    </row>
    <row r="23" spans="2:13" ht="13.5" thickTop="1" x14ac:dyDescent="0.2">
      <c r="F23" s="2"/>
      <c r="G23" s="243" t="s">
        <v>68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12+117+1</f>
        <v>130</v>
      </c>
      <c r="H25" s="14">
        <f>G25/G38</f>
        <v>8.1250000000000003E-2</v>
      </c>
      <c r="I25" s="13">
        <v>27</v>
      </c>
      <c r="J25" s="15">
        <f>I25/I38</f>
        <v>2.0454545454545454E-2</v>
      </c>
    </row>
    <row r="26" spans="2:13" x14ac:dyDescent="0.2">
      <c r="F26" s="6" t="s">
        <v>1</v>
      </c>
      <c r="G26" s="9">
        <f>37+222+1</f>
        <v>260</v>
      </c>
      <c r="H26" s="16">
        <f t="shared" ref="H26:H36" si="4">G26/$G$38</f>
        <v>0.16250000000000001</v>
      </c>
      <c r="I26" s="9">
        <v>44</v>
      </c>
      <c r="J26" s="17">
        <f t="shared" ref="J26:J36" si="5">I26/$I$38</f>
        <v>3.3333333333333333E-2</v>
      </c>
    </row>
    <row r="27" spans="2:13" x14ac:dyDescent="0.2">
      <c r="F27" s="6" t="s">
        <v>2</v>
      </c>
      <c r="G27" s="9">
        <f>17+136+1</f>
        <v>154</v>
      </c>
      <c r="H27" s="16">
        <f t="shared" si="4"/>
        <v>9.6250000000000002E-2</v>
      </c>
      <c r="I27" s="9">
        <v>76</v>
      </c>
      <c r="J27" s="17">
        <f t="shared" si="5"/>
        <v>5.7575757575757579E-2</v>
      </c>
    </row>
    <row r="28" spans="2:13" x14ac:dyDescent="0.2">
      <c r="F28" s="6" t="s">
        <v>3</v>
      </c>
      <c r="G28" s="9">
        <f>3+65+2</f>
        <v>70</v>
      </c>
      <c r="H28" s="16">
        <f t="shared" si="4"/>
        <v>4.3749999999999997E-2</v>
      </c>
      <c r="I28" s="9">
        <v>37</v>
      </c>
      <c r="J28" s="17">
        <f t="shared" si="5"/>
        <v>2.803030303030303E-2</v>
      </c>
    </row>
    <row r="29" spans="2:13" x14ac:dyDescent="0.2">
      <c r="F29" s="6" t="s">
        <v>4</v>
      </c>
      <c r="G29" s="9">
        <f>2+60+4</f>
        <v>66</v>
      </c>
      <c r="H29" s="16">
        <f t="shared" si="4"/>
        <v>4.1250000000000002E-2</v>
      </c>
      <c r="I29" s="9">
        <v>48</v>
      </c>
      <c r="J29" s="17">
        <f t="shared" si="5"/>
        <v>3.6363636363636362E-2</v>
      </c>
    </row>
    <row r="30" spans="2:13" x14ac:dyDescent="0.2">
      <c r="F30" s="6" t="s">
        <v>5</v>
      </c>
      <c r="G30" s="9">
        <f>7+47+0</f>
        <v>54</v>
      </c>
      <c r="H30" s="16">
        <f t="shared" si="4"/>
        <v>3.3750000000000002E-2</v>
      </c>
      <c r="I30" s="9">
        <v>91</v>
      </c>
      <c r="J30" s="17">
        <f t="shared" si="5"/>
        <v>6.8939393939393939E-2</v>
      </c>
    </row>
    <row r="31" spans="2:13" x14ac:dyDescent="0.2">
      <c r="F31" s="6" t="s">
        <v>6</v>
      </c>
      <c r="G31" s="9">
        <f>8+107+14</f>
        <v>129</v>
      </c>
      <c r="H31" s="16">
        <f t="shared" si="4"/>
        <v>8.0625000000000002E-2</v>
      </c>
      <c r="I31" s="9">
        <v>117</v>
      </c>
      <c r="J31" s="17">
        <f t="shared" si="5"/>
        <v>8.8636363636363638E-2</v>
      </c>
    </row>
    <row r="32" spans="2:13" x14ac:dyDescent="0.2">
      <c r="F32" s="6" t="s">
        <v>7</v>
      </c>
      <c r="G32" s="9">
        <f>6+112+3</f>
        <v>121</v>
      </c>
      <c r="H32" s="16">
        <f t="shared" si="4"/>
        <v>7.5624999999999998E-2</v>
      </c>
      <c r="I32" s="9">
        <v>83</v>
      </c>
      <c r="J32" s="17">
        <f t="shared" si="5"/>
        <v>6.2878787878787881E-2</v>
      </c>
    </row>
    <row r="33" spans="6:10" x14ac:dyDescent="0.2">
      <c r="F33" s="6" t="s">
        <v>8</v>
      </c>
      <c r="G33" s="9">
        <f>5+100+6</f>
        <v>111</v>
      </c>
      <c r="H33" s="16">
        <f t="shared" si="4"/>
        <v>6.9375000000000006E-2</v>
      </c>
      <c r="I33" s="9">
        <v>47</v>
      </c>
      <c r="J33" s="17">
        <f t="shared" si="5"/>
        <v>3.5606060606060606E-2</v>
      </c>
    </row>
    <row r="34" spans="6:10" x14ac:dyDescent="0.2">
      <c r="F34" s="6" t="s">
        <v>9</v>
      </c>
      <c r="G34" s="9">
        <f>8+63+1</f>
        <v>72</v>
      </c>
      <c r="H34" s="16">
        <f t="shared" si="4"/>
        <v>4.4999999999999998E-2</v>
      </c>
      <c r="I34" s="9">
        <v>83</v>
      </c>
      <c r="J34" s="17">
        <f t="shared" si="5"/>
        <v>6.2878787878787881E-2</v>
      </c>
    </row>
    <row r="35" spans="6:10" x14ac:dyDescent="0.2">
      <c r="F35" s="6" t="s">
        <v>10</v>
      </c>
      <c r="G35" s="9">
        <f>5+59+5</f>
        <v>69</v>
      </c>
      <c r="H35" s="16">
        <f t="shared" si="4"/>
        <v>4.3124999999999997E-2</v>
      </c>
      <c r="I35" s="9">
        <v>203</v>
      </c>
      <c r="J35" s="17">
        <f t="shared" si="5"/>
        <v>0.15378787878787878</v>
      </c>
    </row>
    <row r="36" spans="6:10" ht="13.5" thickBot="1" x14ac:dyDescent="0.25">
      <c r="F36" s="7" t="s">
        <v>11</v>
      </c>
      <c r="G36" s="18">
        <f>6+81+3</f>
        <v>90</v>
      </c>
      <c r="H36" s="19">
        <f t="shared" si="4"/>
        <v>5.6250000000000001E-2</v>
      </c>
      <c r="I36" s="18">
        <v>231</v>
      </c>
      <c r="J36" s="20">
        <f t="shared" si="5"/>
        <v>0.17499999999999999</v>
      </c>
    </row>
    <row r="37" spans="6:10" ht="13.5" thickTop="1" x14ac:dyDescent="0.2">
      <c r="F37" s="12" t="s">
        <v>69</v>
      </c>
      <c r="H37" s="21">
        <f>SUM(H25:H36)</f>
        <v>0.82874999999999999</v>
      </c>
      <c r="J37" s="21">
        <f>SUM(J25:J36)</f>
        <v>0.82348484848484849</v>
      </c>
    </row>
    <row r="38" spans="6:10" x14ac:dyDescent="0.2">
      <c r="F38" s="1" t="s">
        <v>21</v>
      </c>
      <c r="G38" s="11">
        <f>140+1410+50</f>
        <v>1600</v>
      </c>
      <c r="H38" s="21"/>
      <c r="I38" s="11">
        <v>1320</v>
      </c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70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1+50+36</f>
        <v>87</v>
      </c>
      <c r="H43" s="14">
        <f>G43/G56</f>
        <v>2.6173285198555957E-2</v>
      </c>
      <c r="I43" s="13">
        <v>24</v>
      </c>
      <c r="J43" s="15">
        <f>I43/I56</f>
        <v>7.6117982873453857E-3</v>
      </c>
    </row>
    <row r="44" spans="6:10" x14ac:dyDescent="0.2">
      <c r="F44" s="6" t="s">
        <v>1</v>
      </c>
      <c r="G44" s="9">
        <f>9+202+140</f>
        <v>351</v>
      </c>
      <c r="H44" s="16">
        <f t="shared" ref="H44:H54" si="6">G44/$G$56</f>
        <v>0.1055956678700361</v>
      </c>
      <c r="I44" s="9">
        <v>103</v>
      </c>
      <c r="J44" s="17">
        <f t="shared" ref="J44:J54" si="7">I44/$I$56</f>
        <v>3.2667300983190616E-2</v>
      </c>
    </row>
    <row r="45" spans="6:10" x14ac:dyDescent="0.2">
      <c r="F45" s="6" t="s">
        <v>2</v>
      </c>
      <c r="G45" s="9">
        <f>12+217+142</f>
        <v>371</v>
      </c>
      <c r="H45" s="16">
        <f t="shared" si="6"/>
        <v>0.11161251504211793</v>
      </c>
      <c r="I45" s="9">
        <v>100</v>
      </c>
      <c r="J45" s="17">
        <f t="shared" si="7"/>
        <v>3.1715826197272437E-2</v>
      </c>
    </row>
    <row r="46" spans="6:10" x14ac:dyDescent="0.2">
      <c r="F46" s="6" t="s">
        <v>3</v>
      </c>
      <c r="G46" s="9">
        <f>11+99+60</f>
        <v>170</v>
      </c>
      <c r="H46" s="16">
        <f t="shared" si="6"/>
        <v>5.1143200962695548E-2</v>
      </c>
      <c r="I46" s="9">
        <v>122</v>
      </c>
      <c r="J46" s="17">
        <f t="shared" si="7"/>
        <v>3.8693307960672378E-2</v>
      </c>
    </row>
    <row r="47" spans="6:10" x14ac:dyDescent="0.2">
      <c r="F47" s="6" t="s">
        <v>4</v>
      </c>
      <c r="G47" s="9">
        <f>13+99+60</f>
        <v>172</v>
      </c>
      <c r="H47" s="16">
        <f t="shared" si="6"/>
        <v>5.1744885679903728E-2</v>
      </c>
      <c r="I47" s="9">
        <v>159</v>
      </c>
      <c r="J47" s="17">
        <f t="shared" si="7"/>
        <v>5.0428163653663177E-2</v>
      </c>
    </row>
    <row r="48" spans="6:10" x14ac:dyDescent="0.2">
      <c r="F48" s="6" t="s">
        <v>5</v>
      </c>
      <c r="G48" s="9">
        <f>35+114+98</f>
        <v>247</v>
      </c>
      <c r="H48" s="16">
        <f t="shared" si="6"/>
        <v>7.4308062575210596E-2</v>
      </c>
      <c r="I48" s="9">
        <v>294</v>
      </c>
      <c r="J48" s="17">
        <f t="shared" si="7"/>
        <v>9.3244529019980968E-2</v>
      </c>
    </row>
    <row r="49" spans="6:10" x14ac:dyDescent="0.2">
      <c r="F49" s="6" t="s">
        <v>6</v>
      </c>
      <c r="G49" s="9">
        <f>46+192+146</f>
        <v>384</v>
      </c>
      <c r="H49" s="16">
        <f t="shared" si="6"/>
        <v>0.11552346570397112</v>
      </c>
      <c r="I49" s="9">
        <v>340</v>
      </c>
      <c r="J49" s="17">
        <f t="shared" si="7"/>
        <v>0.10783380907072629</v>
      </c>
    </row>
    <row r="50" spans="6:10" x14ac:dyDescent="0.2">
      <c r="F50" s="6" t="s">
        <v>7</v>
      </c>
      <c r="G50" s="9">
        <f>34+180+103</f>
        <v>317</v>
      </c>
      <c r="H50" s="16">
        <f t="shared" si="6"/>
        <v>9.5367027677496996E-2</v>
      </c>
      <c r="I50" s="9">
        <v>250</v>
      </c>
      <c r="J50" s="17">
        <f t="shared" si="7"/>
        <v>7.9289565493181099E-2</v>
      </c>
    </row>
    <row r="51" spans="6:10" x14ac:dyDescent="0.2">
      <c r="F51" s="6" t="s">
        <v>8</v>
      </c>
      <c r="G51" s="9">
        <f>22+67+62</f>
        <v>151</v>
      </c>
      <c r="H51" s="16">
        <f t="shared" si="6"/>
        <v>4.5427196149217808E-2</v>
      </c>
      <c r="I51" s="9">
        <v>211</v>
      </c>
      <c r="J51" s="17">
        <f t="shared" si="7"/>
        <v>6.6920393276244841E-2</v>
      </c>
    </row>
    <row r="52" spans="6:10" x14ac:dyDescent="0.2">
      <c r="F52" s="6" t="s">
        <v>9</v>
      </c>
      <c r="G52" s="9">
        <f>17+67+62</f>
        <v>146</v>
      </c>
      <c r="H52" s="16">
        <f t="shared" si="6"/>
        <v>4.3922984356197355E-2</v>
      </c>
      <c r="I52" s="9">
        <v>222</v>
      </c>
      <c r="J52" s="17">
        <f t="shared" si="7"/>
        <v>7.0409134157944808E-2</v>
      </c>
    </row>
    <row r="53" spans="6:10" x14ac:dyDescent="0.2">
      <c r="F53" s="6" t="s">
        <v>10</v>
      </c>
      <c r="G53" s="9">
        <f>17+85+65</f>
        <v>167</v>
      </c>
      <c r="H53" s="16">
        <f t="shared" si="6"/>
        <v>5.0240673886883275E-2</v>
      </c>
      <c r="I53" s="9">
        <v>388</v>
      </c>
      <c r="J53" s="17">
        <f t="shared" si="7"/>
        <v>0.12305740564541706</v>
      </c>
    </row>
    <row r="54" spans="6:10" ht="13.5" thickBot="1" x14ac:dyDescent="0.25">
      <c r="F54" s="7" t="s">
        <v>11</v>
      </c>
      <c r="G54" s="18">
        <f>17+162+105</f>
        <v>284</v>
      </c>
      <c r="H54" s="19">
        <f t="shared" si="6"/>
        <v>8.5439229843561976E-2</v>
      </c>
      <c r="I54" s="18">
        <v>406</v>
      </c>
      <c r="J54" s="20">
        <f t="shared" si="7"/>
        <v>0.12876625436092609</v>
      </c>
    </row>
    <row r="55" spans="6:10" ht="13.5" thickTop="1" x14ac:dyDescent="0.2">
      <c r="F55" s="12" t="s">
        <v>71</v>
      </c>
      <c r="H55" s="21">
        <f>SUM(H43:H54)</f>
        <v>0.85649819494584845</v>
      </c>
      <c r="J55" s="21">
        <f>SUM(J43:J54)</f>
        <v>0.83063748810656524</v>
      </c>
    </row>
    <row r="56" spans="6:10" x14ac:dyDescent="0.2">
      <c r="F56" s="1" t="s">
        <v>21</v>
      </c>
      <c r="G56" s="11">
        <f>279+1779+1266</f>
        <v>3324</v>
      </c>
      <c r="H56" s="21"/>
      <c r="I56" s="11">
        <f>3153</f>
        <v>3153</v>
      </c>
    </row>
    <row r="57" spans="6:10" x14ac:dyDescent="0.2">
      <c r="F57" s="1" t="s">
        <v>82</v>
      </c>
    </row>
    <row r="58" spans="6:10" ht="13.5" thickBot="1" x14ac:dyDescent="0.25"/>
    <row r="59" spans="6:10" ht="13.5" thickTop="1" x14ac:dyDescent="0.2">
      <c r="F59" s="2"/>
      <c r="G59" s="243" t="s">
        <v>100</v>
      </c>
      <c r="H59" s="244"/>
      <c r="I59" s="244"/>
      <c r="J59" s="245"/>
    </row>
    <row r="60" spans="6:10" ht="13.5" thickBot="1" x14ac:dyDescent="0.25">
      <c r="F60" s="3" t="s">
        <v>0</v>
      </c>
      <c r="G60" s="9" t="s">
        <v>13</v>
      </c>
      <c r="H60" s="4" t="s">
        <v>14</v>
      </c>
      <c r="I60" s="9" t="s">
        <v>15</v>
      </c>
      <c r="J60" s="5" t="s">
        <v>16</v>
      </c>
    </row>
    <row r="61" spans="6:10" ht="13.5" thickTop="1" x14ac:dyDescent="0.2">
      <c r="F61" s="8" t="s">
        <v>12</v>
      </c>
      <c r="G61" s="13">
        <f>15+159</f>
        <v>174</v>
      </c>
      <c r="H61" s="14">
        <f t="shared" ref="H61:H72" si="8">G61/$G$74</f>
        <v>7.5652173913043477E-2</v>
      </c>
      <c r="I61" s="13">
        <v>6</v>
      </c>
      <c r="J61" s="15">
        <f t="shared" ref="J61:J72" si="9">I61/$I$74</f>
        <v>3.0303030303030303E-3</v>
      </c>
    </row>
    <row r="62" spans="6:10" x14ac:dyDescent="0.2">
      <c r="F62" s="6" t="s">
        <v>1</v>
      </c>
      <c r="G62" s="9">
        <f>31+314+2</f>
        <v>347</v>
      </c>
      <c r="H62" s="22">
        <f t="shared" si="8"/>
        <v>0.15086956521739131</v>
      </c>
      <c r="I62" s="9">
        <v>37</v>
      </c>
      <c r="J62" s="17">
        <f t="shared" si="9"/>
        <v>1.8686868686868686E-2</v>
      </c>
    </row>
    <row r="63" spans="6:10" x14ac:dyDescent="0.2">
      <c r="F63" s="6" t="s">
        <v>2</v>
      </c>
      <c r="G63" s="9">
        <f>47+261+1</f>
        <v>309</v>
      </c>
      <c r="H63" s="22">
        <f t="shared" si="8"/>
        <v>0.13434782608695653</v>
      </c>
      <c r="I63" s="9">
        <v>48</v>
      </c>
      <c r="J63" s="17">
        <f t="shared" si="9"/>
        <v>2.4242424242424242E-2</v>
      </c>
    </row>
    <row r="64" spans="6:10" x14ac:dyDescent="0.2">
      <c r="F64" s="6" t="s">
        <v>3</v>
      </c>
      <c r="G64" s="9">
        <f>23+92+3</f>
        <v>118</v>
      </c>
      <c r="H64" s="22">
        <f t="shared" si="8"/>
        <v>5.1304347826086956E-2</v>
      </c>
      <c r="I64" s="9">
        <v>60</v>
      </c>
      <c r="J64" s="17">
        <f t="shared" si="9"/>
        <v>3.0303030303030304E-2</v>
      </c>
    </row>
    <row r="65" spans="6:10" x14ac:dyDescent="0.2">
      <c r="F65" s="6" t="s">
        <v>4</v>
      </c>
      <c r="G65" s="9">
        <f>40+60+5</f>
        <v>105</v>
      </c>
      <c r="H65" s="22">
        <f t="shared" si="8"/>
        <v>4.5652173913043478E-2</v>
      </c>
      <c r="I65" s="9">
        <v>54</v>
      </c>
      <c r="J65" s="17">
        <f t="shared" si="9"/>
        <v>2.7272727272727271E-2</v>
      </c>
    </row>
    <row r="66" spans="6:10" x14ac:dyDescent="0.2">
      <c r="F66" s="6" t="s">
        <v>5</v>
      </c>
      <c r="G66" s="9">
        <f>30+65+3</f>
        <v>98</v>
      </c>
      <c r="H66" s="22">
        <f t="shared" si="8"/>
        <v>4.2608695652173914E-2</v>
      </c>
      <c r="I66" s="9">
        <v>158</v>
      </c>
      <c r="J66" s="17">
        <f t="shared" si="9"/>
        <v>7.9797979797979798E-2</v>
      </c>
    </row>
    <row r="67" spans="6:10" x14ac:dyDescent="0.2">
      <c r="F67" s="6" t="s">
        <v>6</v>
      </c>
      <c r="G67" s="9">
        <f>35+128+2</f>
        <v>165</v>
      </c>
      <c r="H67" s="22">
        <f t="shared" si="8"/>
        <v>7.1739130434782611E-2</v>
      </c>
      <c r="I67" s="9">
        <v>171</v>
      </c>
      <c r="J67" s="17">
        <f t="shared" si="9"/>
        <v>8.6363636363636365E-2</v>
      </c>
    </row>
    <row r="68" spans="6:10" x14ac:dyDescent="0.2">
      <c r="F68" s="6" t="s">
        <v>7</v>
      </c>
      <c r="G68" s="9">
        <f>55+122+11</f>
        <v>188</v>
      </c>
      <c r="H68" s="22">
        <f t="shared" si="8"/>
        <v>8.1739130434782606E-2</v>
      </c>
      <c r="I68" s="9">
        <v>83</v>
      </c>
      <c r="J68" s="17">
        <f t="shared" si="9"/>
        <v>4.1919191919191919E-2</v>
      </c>
    </row>
    <row r="69" spans="6:10" x14ac:dyDescent="0.2">
      <c r="F69" s="6" t="s">
        <v>8</v>
      </c>
      <c r="G69" s="9">
        <f>73+79+2</f>
        <v>154</v>
      </c>
      <c r="H69" s="22">
        <f t="shared" si="8"/>
        <v>6.6956521739130428E-2</v>
      </c>
      <c r="I69" s="9">
        <v>218</v>
      </c>
      <c r="J69" s="17">
        <f t="shared" si="9"/>
        <v>0.1101010101010101</v>
      </c>
    </row>
    <row r="70" spans="6:10" x14ac:dyDescent="0.2">
      <c r="F70" s="6" t="s">
        <v>9</v>
      </c>
      <c r="G70" s="9">
        <f>30+73+6</f>
        <v>109</v>
      </c>
      <c r="H70" s="22">
        <f t="shared" si="8"/>
        <v>4.739130434782609E-2</v>
      </c>
      <c r="I70" s="9">
        <v>162</v>
      </c>
      <c r="J70" s="17">
        <f t="shared" si="9"/>
        <v>8.1818181818181818E-2</v>
      </c>
    </row>
    <row r="71" spans="6:10" x14ac:dyDescent="0.2">
      <c r="F71" s="6" t="s">
        <v>10</v>
      </c>
      <c r="G71" s="9">
        <f>16+26+2</f>
        <v>44</v>
      </c>
      <c r="H71" s="22">
        <f t="shared" si="8"/>
        <v>1.9130434782608695E-2</v>
      </c>
      <c r="I71" s="9">
        <v>310</v>
      </c>
      <c r="J71" s="17">
        <f t="shared" si="9"/>
        <v>0.15656565656565657</v>
      </c>
    </row>
    <row r="72" spans="6:10" ht="13.5" thickBot="1" x14ac:dyDescent="0.25">
      <c r="F72" s="7" t="s">
        <v>11</v>
      </c>
      <c r="G72" s="18">
        <f>15+26+2</f>
        <v>43</v>
      </c>
      <c r="H72" s="19">
        <f t="shared" si="8"/>
        <v>1.8695652173913044E-2</v>
      </c>
      <c r="I72" s="18">
        <v>273</v>
      </c>
      <c r="J72" s="20">
        <f t="shared" si="9"/>
        <v>0.13787878787878788</v>
      </c>
    </row>
    <row r="73" spans="6:10" ht="13.5" thickTop="1" x14ac:dyDescent="0.2">
      <c r="F73" s="12" t="s">
        <v>101</v>
      </c>
      <c r="H73" s="21">
        <f>SUM(H61:H72)</f>
        <v>0.80608695652173923</v>
      </c>
      <c r="J73" s="21">
        <f>SUM(J61:J72)</f>
        <v>0.79797979797979801</v>
      </c>
    </row>
    <row r="74" spans="6:10" x14ac:dyDescent="0.2">
      <c r="F74" s="1" t="s">
        <v>21</v>
      </c>
      <c r="G74" s="11">
        <f>510+1740+50</f>
        <v>2300</v>
      </c>
      <c r="H74" s="21"/>
      <c r="I74" s="11">
        <v>1980</v>
      </c>
    </row>
    <row r="75" spans="6:10" ht="13.5" thickBot="1" x14ac:dyDescent="0.25"/>
    <row r="76" spans="6:10" ht="13.5" thickTop="1" x14ac:dyDescent="0.2">
      <c r="F76" s="2"/>
      <c r="G76" s="243" t="s">
        <v>134</v>
      </c>
      <c r="H76" s="244"/>
      <c r="I76" s="244"/>
      <c r="J76" s="245"/>
    </row>
    <row r="77" spans="6:10" ht="13.5" thickBot="1" x14ac:dyDescent="0.25">
      <c r="F77" s="3" t="s">
        <v>0</v>
      </c>
      <c r="G77" s="9" t="s">
        <v>13</v>
      </c>
      <c r="H77" s="4" t="s">
        <v>23</v>
      </c>
      <c r="I77" s="9" t="s">
        <v>15</v>
      </c>
      <c r="J77" s="5" t="s">
        <v>24</v>
      </c>
    </row>
    <row r="78" spans="6:10" ht="13.5" thickTop="1" x14ac:dyDescent="0.2">
      <c r="F78" s="8" t="s">
        <v>26</v>
      </c>
      <c r="G78" s="13">
        <f t="shared" ref="G78:G89" si="10">+G7+G25+G43+G61</f>
        <v>699</v>
      </c>
      <c r="H78" s="14">
        <f t="shared" ref="H78:H89" si="11">AVERAGE(H7,H25,H43,H61)</f>
        <v>6.8760802669807899E-2</v>
      </c>
      <c r="I78" s="13">
        <f t="shared" ref="I78:I89" si="12">+I7+I25+I43</f>
        <v>58</v>
      </c>
      <c r="J78" s="15">
        <f t="shared" ref="J78:J89" si="13">+AVERAGE(J7, J25, J43,J61)</f>
        <v>8.3054306669403926E-3</v>
      </c>
    </row>
    <row r="79" spans="6:10" x14ac:dyDescent="0.2">
      <c r="F79" s="6" t="s">
        <v>27</v>
      </c>
      <c r="G79" s="9">
        <f t="shared" si="10"/>
        <v>1641</v>
      </c>
      <c r="H79" s="16">
        <f t="shared" si="11"/>
        <v>0.15572667703865292</v>
      </c>
      <c r="I79" s="9">
        <f t="shared" si="12"/>
        <v>187</v>
      </c>
      <c r="J79" s="17">
        <f t="shared" si="13"/>
        <v>2.4207698458802013E-2</v>
      </c>
    </row>
    <row r="80" spans="6:10" x14ac:dyDescent="0.2">
      <c r="F80" s="6" t="s">
        <v>28</v>
      </c>
      <c r="G80" s="9">
        <f t="shared" si="10"/>
        <v>1428</v>
      </c>
      <c r="H80" s="16">
        <f t="shared" si="11"/>
        <v>0.12989417978809126</v>
      </c>
      <c r="I80" s="9">
        <f t="shared" si="12"/>
        <v>223</v>
      </c>
      <c r="J80" s="17">
        <f t="shared" si="13"/>
        <v>3.1950593685709343E-2</v>
      </c>
    </row>
    <row r="81" spans="6:10" x14ac:dyDescent="0.2">
      <c r="F81" s="6" t="s">
        <v>29</v>
      </c>
      <c r="G81" s="9">
        <f t="shared" si="10"/>
        <v>481</v>
      </c>
      <c r="H81" s="16">
        <f t="shared" si="11"/>
        <v>4.5731232524158894E-2</v>
      </c>
      <c r="I81" s="9">
        <f t="shared" si="12"/>
        <v>243</v>
      </c>
      <c r="J81" s="17">
        <f t="shared" si="13"/>
        <v>3.0631888010204528E-2</v>
      </c>
    </row>
    <row r="82" spans="6:10" x14ac:dyDescent="0.2">
      <c r="F82" s="6" t="s">
        <v>30</v>
      </c>
      <c r="G82" s="9">
        <f t="shared" si="10"/>
        <v>463</v>
      </c>
      <c r="H82" s="16">
        <f t="shared" si="11"/>
        <v>4.3619662778200965E-2</v>
      </c>
      <c r="I82" s="9">
        <f t="shared" si="12"/>
        <v>321</v>
      </c>
      <c r="J82" s="17">
        <f t="shared" si="13"/>
        <v>3.7168226540175195E-2</v>
      </c>
    </row>
    <row r="83" spans="6:10" x14ac:dyDescent="0.2">
      <c r="F83" s="6" t="s">
        <v>37</v>
      </c>
      <c r="G83" s="9">
        <f t="shared" si="10"/>
        <v>508</v>
      </c>
      <c r="H83" s="16">
        <f t="shared" si="11"/>
        <v>4.5803446797813577E-2</v>
      </c>
      <c r="I83" s="9">
        <f t="shared" si="12"/>
        <v>605</v>
      </c>
      <c r="J83" s="17">
        <f t="shared" si="13"/>
        <v>7.7192500583084883E-2</v>
      </c>
    </row>
    <row r="84" spans="6:10" x14ac:dyDescent="0.2">
      <c r="F84" s="6" t="s">
        <v>31</v>
      </c>
      <c r="G84" s="9">
        <f t="shared" si="10"/>
        <v>946</v>
      </c>
      <c r="H84" s="16">
        <f t="shared" si="11"/>
        <v>8.6977870966608417E-2</v>
      </c>
      <c r="I84" s="9">
        <f t="shared" si="12"/>
        <v>713</v>
      </c>
      <c r="J84" s="17">
        <f t="shared" si="13"/>
        <v>9.0137717598586256E-2</v>
      </c>
    </row>
    <row r="85" spans="6:10" x14ac:dyDescent="0.2">
      <c r="F85" s="6" t="s">
        <v>32</v>
      </c>
      <c r="G85" s="9">
        <f t="shared" si="10"/>
        <v>869</v>
      </c>
      <c r="H85" s="16">
        <f t="shared" si="11"/>
        <v>8.1322532734997344E-2</v>
      </c>
      <c r="I85" s="9">
        <f t="shared" si="12"/>
        <v>469</v>
      </c>
      <c r="J85" s="17">
        <f t="shared" si="13"/>
        <v>5.6343683529833335E-2</v>
      </c>
    </row>
    <row r="86" spans="6:10" x14ac:dyDescent="0.2">
      <c r="F86" s="6" t="s">
        <v>33</v>
      </c>
      <c r="G86" s="9">
        <f t="shared" si="10"/>
        <v>550</v>
      </c>
      <c r="H86" s="16">
        <f t="shared" si="11"/>
        <v>5.5442665438047045E-2</v>
      </c>
      <c r="I86" s="9">
        <f t="shared" si="12"/>
        <v>393</v>
      </c>
      <c r="J86" s="17">
        <f t="shared" si="13"/>
        <v>6.3402767635173149E-2</v>
      </c>
    </row>
    <row r="87" spans="6:10" x14ac:dyDescent="0.2">
      <c r="F87" s="6" t="s">
        <v>34</v>
      </c>
      <c r="G87" s="9">
        <f t="shared" si="10"/>
        <v>419</v>
      </c>
      <c r="H87" s="16">
        <f t="shared" si="11"/>
        <v>4.0946293883978392E-2</v>
      </c>
      <c r="I87" s="9">
        <f t="shared" si="12"/>
        <v>614</v>
      </c>
      <c r="J87" s="17">
        <f t="shared" si="13"/>
        <v>7.7228256382672167E-2</v>
      </c>
    </row>
    <row r="88" spans="6:10" x14ac:dyDescent="0.2">
      <c r="F88" s="6" t="s">
        <v>35</v>
      </c>
      <c r="G88" s="9">
        <f t="shared" si="10"/>
        <v>371</v>
      </c>
      <c r="H88" s="16">
        <f t="shared" si="11"/>
        <v>3.4917099726345817E-2</v>
      </c>
      <c r="I88" s="9">
        <f t="shared" si="12"/>
        <v>1198</v>
      </c>
      <c r="J88" s="17">
        <f t="shared" si="13"/>
        <v>0.15442134484293785</v>
      </c>
    </row>
    <row r="89" spans="6:10" ht="13.5" thickBot="1" x14ac:dyDescent="0.25">
      <c r="F89" s="7" t="s">
        <v>36</v>
      </c>
      <c r="G89" s="18">
        <f t="shared" si="10"/>
        <v>525</v>
      </c>
      <c r="H89" s="65">
        <f t="shared" si="11"/>
        <v>4.8158328596336508E-2</v>
      </c>
      <c r="I89" s="18">
        <f t="shared" si="12"/>
        <v>1271</v>
      </c>
      <c r="J89" s="20">
        <f t="shared" si="13"/>
        <v>0.15852905048099711</v>
      </c>
    </row>
    <row r="90" spans="6:10" ht="13.5" thickTop="1" x14ac:dyDescent="0.2">
      <c r="F90" s="12" t="s">
        <v>25</v>
      </c>
      <c r="H90" s="21">
        <f>SUM(H78:H89)</f>
        <v>0.83730079294303905</v>
      </c>
      <c r="J90" s="21">
        <f>SUM(J78:J89)</f>
        <v>0.80951915841511624</v>
      </c>
    </row>
    <row r="91" spans="6:10" x14ac:dyDescent="0.2">
      <c r="F91" s="1" t="s">
        <v>21</v>
      </c>
      <c r="G91" s="64">
        <f>AVERAGE(G20,G38,G56,G74)</f>
        <v>2643.25</v>
      </c>
      <c r="H91" s="21"/>
      <c r="I91" s="11">
        <f>AVERAGE(I20,I38,I56)</f>
        <v>2589</v>
      </c>
    </row>
    <row r="95" spans="6:10" x14ac:dyDescent="0.2">
      <c r="I95" s="10"/>
    </row>
    <row r="96" spans="6:10" x14ac:dyDescent="0.2">
      <c r="I96" s="10"/>
    </row>
    <row r="97" spans="6:9" x14ac:dyDescent="0.2">
      <c r="I97" s="10"/>
    </row>
    <row r="98" spans="6:9" x14ac:dyDescent="0.2">
      <c r="I98" s="59"/>
    </row>
    <row r="99" spans="6:9" x14ac:dyDescent="0.2">
      <c r="I99" s="59"/>
    </row>
    <row r="100" spans="6:9" x14ac:dyDescent="0.2">
      <c r="I100" s="59"/>
    </row>
    <row r="101" spans="6:9" x14ac:dyDescent="0.2">
      <c r="I101" s="59"/>
    </row>
    <row r="102" spans="6:9" x14ac:dyDescent="0.2">
      <c r="I102" s="59"/>
    </row>
    <row r="103" spans="6:9" x14ac:dyDescent="0.2">
      <c r="I103" s="59"/>
    </row>
    <row r="104" spans="6:9" x14ac:dyDescent="0.2">
      <c r="I104" s="59"/>
    </row>
    <row r="105" spans="6:9" x14ac:dyDescent="0.2">
      <c r="I105" s="59"/>
    </row>
    <row r="106" spans="6:9" x14ac:dyDescent="0.2">
      <c r="I106" s="59"/>
    </row>
    <row r="107" spans="6:9" x14ac:dyDescent="0.2">
      <c r="I107" s="59"/>
    </row>
    <row r="108" spans="6:9" x14ac:dyDescent="0.2">
      <c r="I108" s="59"/>
    </row>
    <row r="109" spans="6:9" x14ac:dyDescent="0.2">
      <c r="I109" s="10"/>
    </row>
    <row r="110" spans="6:9" x14ac:dyDescent="0.2">
      <c r="F110" s="45"/>
      <c r="G110" s="10"/>
      <c r="H110" s="10"/>
      <c r="I110" s="10"/>
    </row>
  </sheetData>
  <mergeCells count="8">
    <mergeCell ref="B5:B6"/>
    <mergeCell ref="C5:D5"/>
    <mergeCell ref="B2:Z3"/>
    <mergeCell ref="G76:J76"/>
    <mergeCell ref="G59:J59"/>
    <mergeCell ref="G5:J5"/>
    <mergeCell ref="G23:J23"/>
    <mergeCell ref="G41:J4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1.4400000000000001E-2</v>
      </c>
      <c r="D7" s="163">
        <v>1.0200000000000001E-2</v>
      </c>
      <c r="E7" s="164">
        <v>7.6E-3</v>
      </c>
      <c r="F7" s="163">
        <v>4.7000000000000002E-3</v>
      </c>
      <c r="G7" s="164">
        <v>9.4000000000000004E-3</v>
      </c>
      <c r="H7" s="165">
        <v>4.5999999999999999E-3</v>
      </c>
    </row>
    <row r="8" spans="2:26" x14ac:dyDescent="0.2">
      <c r="B8" s="117" t="s">
        <v>27</v>
      </c>
      <c r="C8" s="149">
        <v>1.84E-2</v>
      </c>
      <c r="D8" s="172">
        <v>1.6E-2</v>
      </c>
      <c r="E8" s="120">
        <v>1.23E-2</v>
      </c>
      <c r="F8" s="166">
        <v>8.3000000000000001E-3</v>
      </c>
      <c r="G8" s="120">
        <v>1.54E-2</v>
      </c>
      <c r="H8" s="167">
        <v>1.6400000000000001E-2</v>
      </c>
    </row>
    <row r="9" spans="2:26" x14ac:dyDescent="0.2">
      <c r="B9" s="117" t="s">
        <v>28</v>
      </c>
      <c r="C9" s="149">
        <v>3.2300000000000002E-2</v>
      </c>
      <c r="D9" s="166">
        <v>2.4200000000000003E-2</v>
      </c>
      <c r="E9" s="120">
        <v>3.4300000000000004E-2</v>
      </c>
      <c r="F9" s="166">
        <v>2.1000000000000001E-2</v>
      </c>
      <c r="G9" s="120">
        <v>2.2100000000000002E-2</v>
      </c>
      <c r="H9" s="167">
        <v>1.61E-2</v>
      </c>
    </row>
    <row r="10" spans="2:26" x14ac:dyDescent="0.2">
      <c r="B10" s="117" t="s">
        <v>29</v>
      </c>
      <c r="C10" s="149">
        <v>5.7600000000000005E-2</v>
      </c>
      <c r="D10" s="166">
        <v>3.6600000000000001E-2</v>
      </c>
      <c r="E10" s="120">
        <v>5.21E-2</v>
      </c>
      <c r="F10" s="166">
        <v>4.0100000000000004E-2</v>
      </c>
      <c r="G10" s="120">
        <v>3.5799999999999998E-2</v>
      </c>
      <c r="H10" s="167">
        <v>2.7700000000000002E-2</v>
      </c>
    </row>
    <row r="11" spans="2:26" x14ac:dyDescent="0.2">
      <c r="B11" s="117" t="s">
        <v>30</v>
      </c>
      <c r="C11" s="149">
        <v>6.1000000000000006E-2</v>
      </c>
      <c r="D11" s="166">
        <v>6.0299999999999999E-2</v>
      </c>
      <c r="E11" s="120">
        <v>6.8100000000000008E-2</v>
      </c>
      <c r="F11" s="166">
        <v>5.5800000000000002E-2</v>
      </c>
      <c r="G11" s="120">
        <v>5.5500000000000001E-2</v>
      </c>
      <c r="H11" s="167">
        <v>3.9300000000000002E-2</v>
      </c>
    </row>
    <row r="12" spans="2:26" x14ac:dyDescent="0.2">
      <c r="B12" s="117" t="s">
        <v>37</v>
      </c>
      <c r="C12" s="149">
        <v>8.1700000000000009E-2</v>
      </c>
      <c r="D12" s="166">
        <v>7.3200000000000001E-2</v>
      </c>
      <c r="E12" s="120">
        <v>9.0300000000000005E-2</v>
      </c>
      <c r="F12" s="166">
        <v>7.690000000000001E-2</v>
      </c>
      <c r="G12" s="120">
        <v>7.1900000000000006E-2</v>
      </c>
      <c r="H12" s="167">
        <v>6.1100000000000002E-2</v>
      </c>
    </row>
    <row r="13" spans="2:26" x14ac:dyDescent="0.2">
      <c r="B13" s="117" t="s">
        <v>31</v>
      </c>
      <c r="C13" s="149">
        <v>8.5699999999999998E-2</v>
      </c>
      <c r="D13" s="166">
        <v>8.3799999999999999E-2</v>
      </c>
      <c r="E13" s="120">
        <v>9.8500000000000004E-2</v>
      </c>
      <c r="F13" s="166">
        <v>9.1600000000000001E-2</v>
      </c>
      <c r="G13" s="120">
        <v>0.1037</v>
      </c>
      <c r="H13" s="167">
        <v>8.5600000000000009E-2</v>
      </c>
    </row>
    <row r="14" spans="2:26" x14ac:dyDescent="0.2">
      <c r="B14" s="117" t="s">
        <v>32</v>
      </c>
      <c r="C14" s="149">
        <v>8.2100000000000006E-2</v>
      </c>
      <c r="D14" s="166">
        <v>8.0600000000000005E-2</v>
      </c>
      <c r="E14" s="120">
        <v>9.3600000000000003E-2</v>
      </c>
      <c r="F14" s="166">
        <v>9.6700000000000008E-2</v>
      </c>
      <c r="G14" s="120">
        <v>0.1048</v>
      </c>
      <c r="H14" s="167">
        <v>0.10600000000000001</v>
      </c>
    </row>
    <row r="15" spans="2:26" x14ac:dyDescent="0.2">
      <c r="B15" s="117" t="s">
        <v>33</v>
      </c>
      <c r="C15" s="149">
        <v>8.3900000000000002E-2</v>
      </c>
      <c r="D15" s="166">
        <v>8.2299999999999998E-2</v>
      </c>
      <c r="E15" s="120">
        <v>0.1028</v>
      </c>
      <c r="F15" s="166">
        <v>0.1009</v>
      </c>
      <c r="G15" s="120">
        <v>9.5899999999999999E-2</v>
      </c>
      <c r="H15" s="167">
        <v>9.580000000000001E-2</v>
      </c>
    </row>
    <row r="16" spans="2:26" x14ac:dyDescent="0.2">
      <c r="B16" s="117" t="s">
        <v>34</v>
      </c>
      <c r="C16" s="149">
        <v>8.1799999999999998E-2</v>
      </c>
      <c r="D16" s="166">
        <v>8.5199999999999998E-2</v>
      </c>
      <c r="E16" s="120">
        <v>9.6300000000000011E-2</v>
      </c>
      <c r="F16" s="166">
        <v>9.6500000000000002E-2</v>
      </c>
      <c r="G16" s="120">
        <v>9.4600000000000004E-2</v>
      </c>
      <c r="H16" s="167">
        <v>0.1009</v>
      </c>
    </row>
    <row r="17" spans="2:8" x14ac:dyDescent="0.2">
      <c r="B17" s="117" t="s">
        <v>35</v>
      </c>
      <c r="C17" s="149">
        <v>8.2600000000000007E-2</v>
      </c>
      <c r="D17" s="166">
        <v>8.6000000000000007E-2</v>
      </c>
      <c r="E17" s="120">
        <v>8.8900000000000007E-2</v>
      </c>
      <c r="F17" s="166">
        <v>9.9100000000000008E-2</v>
      </c>
      <c r="G17" s="120">
        <v>8.3799999999999999E-2</v>
      </c>
      <c r="H17" s="167">
        <v>8.2900000000000001E-2</v>
      </c>
    </row>
    <row r="18" spans="2:8" x14ac:dyDescent="0.2">
      <c r="B18" s="117" t="s">
        <v>36</v>
      </c>
      <c r="C18" s="149">
        <v>7.8600000000000003E-2</v>
      </c>
      <c r="D18" s="166">
        <v>8.1000000000000003E-2</v>
      </c>
      <c r="E18" s="120">
        <v>6.6200000000000009E-2</v>
      </c>
      <c r="F18" s="166">
        <v>7.9700000000000007E-2</v>
      </c>
      <c r="G18" s="120">
        <v>7.4900000000000008E-2</v>
      </c>
      <c r="H18" s="167">
        <v>8.2100000000000006E-2</v>
      </c>
    </row>
    <row r="19" spans="2:8" x14ac:dyDescent="0.2">
      <c r="B19" s="159" t="s">
        <v>141</v>
      </c>
      <c r="C19" s="149">
        <v>7.1000000000000008E-2</v>
      </c>
      <c r="D19" s="166">
        <v>7.2900000000000006E-2</v>
      </c>
      <c r="E19" s="120">
        <v>5.5800000000000002E-2</v>
      </c>
      <c r="F19" s="166">
        <v>6.3800000000000009E-2</v>
      </c>
      <c r="G19" s="120">
        <v>6.5799999999999997E-2</v>
      </c>
      <c r="H19" s="167">
        <v>7.9700000000000007E-2</v>
      </c>
    </row>
    <row r="20" spans="2:8" x14ac:dyDescent="0.2">
      <c r="B20" s="157" t="s">
        <v>142</v>
      </c>
      <c r="C20" s="149">
        <v>5.7100000000000005E-2</v>
      </c>
      <c r="D20" s="166">
        <v>6.7900000000000002E-2</v>
      </c>
      <c r="E20" s="120">
        <v>4.2700000000000002E-2</v>
      </c>
      <c r="F20" s="166">
        <v>4.99E-2</v>
      </c>
      <c r="G20" s="120">
        <v>5.0900000000000001E-2</v>
      </c>
      <c r="H20" s="167">
        <v>5.6500000000000002E-2</v>
      </c>
    </row>
    <row r="21" spans="2:8" x14ac:dyDescent="0.2">
      <c r="B21" s="157" t="s">
        <v>160</v>
      </c>
      <c r="C21" s="149">
        <v>4.5100000000000001E-2</v>
      </c>
      <c r="D21" s="166">
        <v>5.3400000000000003E-2</v>
      </c>
      <c r="E21" s="120">
        <v>3.2399999999999998E-2</v>
      </c>
      <c r="F21" s="166">
        <v>3.9699999999999999E-2</v>
      </c>
      <c r="G21" s="120">
        <v>4.1500000000000002E-2</v>
      </c>
      <c r="H21" s="167">
        <v>5.0300000000000004E-2</v>
      </c>
    </row>
    <row r="22" spans="2:8" x14ac:dyDescent="0.2">
      <c r="B22" s="157" t="s">
        <v>161</v>
      </c>
      <c r="C22" s="149">
        <v>3.4500000000000003E-2</v>
      </c>
      <c r="D22" s="166">
        <v>0.04</v>
      </c>
      <c r="E22" s="120">
        <v>3.0600000000000002E-2</v>
      </c>
      <c r="F22" s="172">
        <v>3.1699999999999999E-2</v>
      </c>
      <c r="G22" s="120">
        <v>3.15E-2</v>
      </c>
      <c r="H22" s="167">
        <v>3.44E-2</v>
      </c>
    </row>
    <row r="23" spans="2:8" ht="13.5" thickBot="1" x14ac:dyDescent="0.25">
      <c r="B23" s="160" t="s">
        <v>186</v>
      </c>
      <c r="C23" s="150">
        <v>3.2199999999999999E-2</v>
      </c>
      <c r="D23" s="168">
        <v>4.6100000000000002E-2</v>
      </c>
      <c r="E23" s="169">
        <v>2.7300000000000001E-2</v>
      </c>
      <c r="F23" s="168">
        <v>4.3500000000000004E-2</v>
      </c>
      <c r="G23" s="169">
        <v>4.2300000000000004E-2</v>
      </c>
      <c r="H23" s="170">
        <v>6.0500000000000005E-2</v>
      </c>
    </row>
    <row r="24" spans="2:8" ht="13.5" thickBot="1" x14ac:dyDescent="0.25">
      <c r="B24" s="142"/>
      <c r="C24" s="143">
        <f>SUM(C7:C23)</f>
        <v>1</v>
      </c>
      <c r="D24" s="161">
        <f t="shared" ref="D24:H24" si="0">SUM(D7:D23)</f>
        <v>0.99969999999999992</v>
      </c>
      <c r="E24" s="143">
        <f t="shared" si="0"/>
        <v>0.99979999999999991</v>
      </c>
      <c r="F24" s="161">
        <f t="shared" si="0"/>
        <v>0.9998999999999999</v>
      </c>
      <c r="G24" s="143">
        <f t="shared" si="0"/>
        <v>0.99980000000000002</v>
      </c>
      <c r="H24" s="144">
        <f t="shared" si="0"/>
        <v>0.9998999999999999</v>
      </c>
    </row>
    <row r="25" spans="2:8" ht="13.5" thickTop="1" x14ac:dyDescent="0.2"/>
    <row r="27" spans="2:8" x14ac:dyDescent="0.2">
      <c r="B27" s="154" t="s">
        <v>256</v>
      </c>
    </row>
    <row r="28" spans="2:8" x14ac:dyDescent="0.2">
      <c r="B28" s="154" t="s">
        <v>198</v>
      </c>
    </row>
    <row r="29" spans="2:8" x14ac:dyDescent="0.2">
      <c r="B29" s="154" t="s">
        <v>204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3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13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8.0000000000000004E-4</v>
      </c>
      <c r="D7" s="163">
        <v>4.0000000000000002E-4</v>
      </c>
      <c r="E7" s="162">
        <v>0</v>
      </c>
      <c r="F7" s="165">
        <v>0</v>
      </c>
      <c r="G7" s="162">
        <v>0</v>
      </c>
      <c r="H7" s="165">
        <v>0</v>
      </c>
    </row>
    <row r="8" spans="2:26" x14ac:dyDescent="0.2">
      <c r="B8" s="117" t="s">
        <v>27</v>
      </c>
      <c r="C8" s="149">
        <v>1.8000000000000002E-2</v>
      </c>
      <c r="D8" s="172">
        <v>6.7000000000000002E-3</v>
      </c>
      <c r="E8" s="149">
        <v>5.1000000000000004E-3</v>
      </c>
      <c r="F8" s="167">
        <v>1.1000000000000001E-3</v>
      </c>
      <c r="G8" s="149">
        <v>0</v>
      </c>
      <c r="H8" s="167">
        <v>0</v>
      </c>
    </row>
    <row r="9" spans="2:26" x14ac:dyDescent="0.2">
      <c r="B9" s="117" t="s">
        <v>28</v>
      </c>
      <c r="C9" s="149">
        <v>2.8800000000000003E-2</v>
      </c>
      <c r="D9" s="166">
        <v>1.2700000000000001E-2</v>
      </c>
      <c r="E9" s="149">
        <v>1.09E-2</v>
      </c>
      <c r="F9" s="167">
        <v>3.4000000000000002E-3</v>
      </c>
      <c r="G9" s="149">
        <v>0</v>
      </c>
      <c r="H9" s="167">
        <v>0</v>
      </c>
    </row>
    <row r="10" spans="2:26" x14ac:dyDescent="0.2">
      <c r="B10" s="117" t="s">
        <v>29</v>
      </c>
      <c r="C10" s="149">
        <v>7.2800000000000004E-2</v>
      </c>
      <c r="D10" s="166">
        <v>5.0300000000000004E-2</v>
      </c>
      <c r="E10" s="149">
        <v>5.5200000000000006E-2</v>
      </c>
      <c r="F10" s="167">
        <v>3.4500000000000003E-2</v>
      </c>
      <c r="G10" s="149">
        <v>1.5000000000000001E-2</v>
      </c>
      <c r="H10" s="167">
        <v>7.6E-3</v>
      </c>
    </row>
    <row r="11" spans="2:26" x14ac:dyDescent="0.2">
      <c r="B11" s="117" t="s">
        <v>30</v>
      </c>
      <c r="C11" s="149">
        <v>8.6500000000000007E-2</v>
      </c>
      <c r="D11" s="166">
        <v>7.5900000000000009E-2</v>
      </c>
      <c r="E11" s="149">
        <v>0.1009</v>
      </c>
      <c r="F11" s="167">
        <v>7.0500000000000007E-2</v>
      </c>
      <c r="G11" s="149">
        <v>4.6600000000000003E-2</v>
      </c>
      <c r="H11" s="167">
        <v>2.7600000000000003E-2</v>
      </c>
    </row>
    <row r="12" spans="2:26" x14ac:dyDescent="0.2">
      <c r="B12" s="117" t="s">
        <v>37</v>
      </c>
      <c r="C12" s="149">
        <v>0.10060000000000001</v>
      </c>
      <c r="D12" s="166">
        <v>9.5100000000000004E-2</v>
      </c>
      <c r="E12" s="149">
        <v>0.11270000000000001</v>
      </c>
      <c r="F12" s="167">
        <v>9.5600000000000004E-2</v>
      </c>
      <c r="G12" s="149">
        <v>0.12430000000000001</v>
      </c>
      <c r="H12" s="167">
        <v>9.0999999999999998E-2</v>
      </c>
    </row>
    <row r="13" spans="2:26" x14ac:dyDescent="0.2">
      <c r="B13" s="117" t="s">
        <v>31</v>
      </c>
      <c r="C13" s="149">
        <v>9.9600000000000008E-2</v>
      </c>
      <c r="D13" s="166">
        <v>0.10730000000000001</v>
      </c>
      <c r="E13" s="149">
        <v>0.12150000000000001</v>
      </c>
      <c r="F13" s="167">
        <v>0.13350000000000001</v>
      </c>
      <c r="G13" s="149">
        <v>0.15870000000000001</v>
      </c>
      <c r="H13" s="167">
        <v>0.13270000000000001</v>
      </c>
    </row>
    <row r="14" spans="2:26" x14ac:dyDescent="0.2">
      <c r="B14" s="117" t="s">
        <v>32</v>
      </c>
      <c r="C14" s="149">
        <v>0.11040000000000001</v>
      </c>
      <c r="D14" s="166">
        <v>0.10260000000000001</v>
      </c>
      <c r="E14" s="149">
        <v>0.13730000000000001</v>
      </c>
      <c r="F14" s="167">
        <v>0.14070000000000002</v>
      </c>
      <c r="G14" s="149">
        <v>0.1326</v>
      </c>
      <c r="H14" s="167">
        <v>0.13600000000000001</v>
      </c>
    </row>
    <row r="15" spans="2:26" x14ac:dyDescent="0.2">
      <c r="B15" s="117" t="s">
        <v>33</v>
      </c>
      <c r="C15" s="149">
        <v>0.1009</v>
      </c>
      <c r="D15" s="166">
        <v>0.10340000000000001</v>
      </c>
      <c r="E15" s="149">
        <v>0.12430000000000001</v>
      </c>
      <c r="F15" s="167">
        <v>0.12490000000000001</v>
      </c>
      <c r="G15" s="149">
        <v>0.15890000000000001</v>
      </c>
      <c r="H15" s="167">
        <v>0.15710000000000002</v>
      </c>
    </row>
    <row r="16" spans="2:26" x14ac:dyDescent="0.2">
      <c r="B16" s="117" t="s">
        <v>34</v>
      </c>
      <c r="C16" s="149">
        <v>9.4700000000000006E-2</v>
      </c>
      <c r="D16" s="166">
        <v>8.7900000000000006E-2</v>
      </c>
      <c r="E16" s="149">
        <v>0.11610000000000001</v>
      </c>
      <c r="F16" s="167">
        <v>0.1193</v>
      </c>
      <c r="G16" s="149">
        <v>0.1507</v>
      </c>
      <c r="H16" s="167">
        <v>0.1452</v>
      </c>
    </row>
    <row r="17" spans="2:8" x14ac:dyDescent="0.2">
      <c r="B17" s="117" t="s">
        <v>35</v>
      </c>
      <c r="C17" s="149">
        <v>8.7400000000000005E-2</v>
      </c>
      <c r="D17" s="166">
        <v>0.1014</v>
      </c>
      <c r="E17" s="149">
        <v>0.1004</v>
      </c>
      <c r="F17" s="167">
        <v>0.1032</v>
      </c>
      <c r="G17" s="149">
        <v>0.12690000000000001</v>
      </c>
      <c r="H17" s="167">
        <v>0.14460000000000001</v>
      </c>
    </row>
    <row r="18" spans="2:8" x14ac:dyDescent="0.2">
      <c r="B18" s="117" t="s">
        <v>36</v>
      </c>
      <c r="C18" s="149">
        <v>7.010000000000001E-2</v>
      </c>
      <c r="D18" s="166">
        <v>8.2400000000000001E-2</v>
      </c>
      <c r="E18" s="149">
        <v>8.1100000000000005E-2</v>
      </c>
      <c r="F18" s="167">
        <v>0.11330000000000001</v>
      </c>
      <c r="G18" s="149">
        <v>6.7799999999999999E-2</v>
      </c>
      <c r="H18" s="167">
        <v>0.10940000000000001</v>
      </c>
    </row>
    <row r="19" spans="2:8" x14ac:dyDescent="0.2">
      <c r="B19" s="159" t="s">
        <v>141</v>
      </c>
      <c r="C19" s="149">
        <v>6.25E-2</v>
      </c>
      <c r="D19" s="166">
        <v>6.1800000000000001E-2</v>
      </c>
      <c r="E19" s="149">
        <v>2.5400000000000002E-2</v>
      </c>
      <c r="F19" s="167">
        <v>5.0300000000000004E-2</v>
      </c>
      <c r="G19" s="149">
        <v>1.4400000000000001E-2</v>
      </c>
      <c r="H19" s="167">
        <v>4.5000000000000005E-2</v>
      </c>
    </row>
    <row r="20" spans="2:8" x14ac:dyDescent="0.2">
      <c r="B20" s="157" t="s">
        <v>142</v>
      </c>
      <c r="C20" s="149">
        <v>4.5999999999999999E-2</v>
      </c>
      <c r="D20" s="166">
        <v>5.7200000000000001E-2</v>
      </c>
      <c r="E20" s="149">
        <v>8.6E-3</v>
      </c>
      <c r="F20" s="167">
        <v>8.3000000000000001E-3</v>
      </c>
      <c r="G20" s="149">
        <v>3.9000000000000003E-3</v>
      </c>
      <c r="H20" s="167">
        <v>3.3E-3</v>
      </c>
    </row>
    <row r="21" spans="2:8" x14ac:dyDescent="0.2">
      <c r="B21" s="157" t="s">
        <v>160</v>
      </c>
      <c r="C21" s="149">
        <v>1.8600000000000002E-2</v>
      </c>
      <c r="D21" s="166">
        <v>4.0600000000000004E-2</v>
      </c>
      <c r="E21" s="149">
        <v>4.0000000000000002E-4</v>
      </c>
      <c r="F21" s="167">
        <v>1.1000000000000001E-3</v>
      </c>
      <c r="G21" s="149">
        <v>0</v>
      </c>
      <c r="H21" s="167">
        <v>5.0000000000000001E-4</v>
      </c>
    </row>
    <row r="22" spans="2:8" x14ac:dyDescent="0.2">
      <c r="B22" s="157" t="s">
        <v>161</v>
      </c>
      <c r="C22" s="149">
        <v>1.9E-3</v>
      </c>
      <c r="D22" s="166">
        <v>1.3900000000000001E-2</v>
      </c>
      <c r="E22" s="149">
        <v>0</v>
      </c>
      <c r="F22" s="178">
        <v>4.0000000000000002E-4</v>
      </c>
      <c r="G22" s="149">
        <v>0</v>
      </c>
      <c r="H22" s="178">
        <v>0</v>
      </c>
    </row>
    <row r="23" spans="2:8" ht="13.5" thickBot="1" x14ac:dyDescent="0.25">
      <c r="B23" s="160" t="s">
        <v>186</v>
      </c>
      <c r="C23" s="150">
        <v>4.0000000000000002E-4</v>
      </c>
      <c r="D23" s="168">
        <v>4.0000000000000002E-4</v>
      </c>
      <c r="E23" s="150">
        <v>0</v>
      </c>
      <c r="F23" s="170">
        <v>0</v>
      </c>
      <c r="G23" s="150">
        <v>0</v>
      </c>
      <c r="H23" s="170">
        <v>0</v>
      </c>
    </row>
    <row r="24" spans="2:8" ht="13.5" thickBot="1" x14ac:dyDescent="0.25">
      <c r="B24" s="142"/>
      <c r="C24" s="143">
        <f>SUM(C7:C23)</f>
        <v>1.0000000000000002</v>
      </c>
      <c r="D24" s="161">
        <f t="shared" ref="D24:F24" si="0">SUM(D7:D23)</f>
        <v>1.0000000000000002</v>
      </c>
      <c r="E24" s="143">
        <f t="shared" si="0"/>
        <v>0.99990000000000001</v>
      </c>
      <c r="F24" s="144">
        <f t="shared" si="0"/>
        <v>1.0001</v>
      </c>
      <c r="G24" s="143">
        <f t="shared" ref="G24:H24" si="1">SUM(G7:G23)</f>
        <v>0.99979999999999991</v>
      </c>
      <c r="H24" s="144">
        <f t="shared" si="1"/>
        <v>1.0000000000000002</v>
      </c>
    </row>
    <row r="25" spans="2:8" ht="13.5" thickTop="1" x14ac:dyDescent="0.2">
      <c r="G25" s="177"/>
      <c r="H25" s="177"/>
    </row>
    <row r="26" spans="2:8" x14ac:dyDescent="0.2">
      <c r="G26" s="177"/>
      <c r="H26" s="177"/>
    </row>
    <row r="27" spans="2:8" x14ac:dyDescent="0.2">
      <c r="B27" s="66" t="s">
        <v>207</v>
      </c>
      <c r="G27" s="177"/>
      <c r="H27" s="177"/>
    </row>
    <row r="28" spans="2:8" x14ac:dyDescent="0.2">
      <c r="B28" s="154" t="s">
        <v>206</v>
      </c>
    </row>
    <row r="29" spans="2:8" x14ac:dyDescent="0.2">
      <c r="B29" s="154" t="s">
        <v>208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</sheetPr>
  <dimension ref="B2:Z3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262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8.6E-3</v>
      </c>
      <c r="D7" s="163">
        <v>4.8000000000000004E-3</v>
      </c>
      <c r="E7" s="164">
        <v>2.7000000000000001E-3</v>
      </c>
      <c r="F7" s="163">
        <v>9.0000000000000008E-4</v>
      </c>
      <c r="G7" s="164">
        <v>2E-3</v>
      </c>
      <c r="H7" s="165">
        <v>1E-3</v>
      </c>
    </row>
    <row r="8" spans="2:26" x14ac:dyDescent="0.2">
      <c r="B8" s="117" t="s">
        <v>27</v>
      </c>
      <c r="C8" s="149">
        <v>1.95E-2</v>
      </c>
      <c r="D8" s="172">
        <v>1.2500000000000001E-2</v>
      </c>
      <c r="E8" s="120">
        <v>8.0000000000000002E-3</v>
      </c>
      <c r="F8" s="166">
        <v>2.4000000000000002E-3</v>
      </c>
      <c r="G8" s="120">
        <v>4.0000000000000001E-3</v>
      </c>
      <c r="H8" s="167">
        <v>3.0000000000000001E-3</v>
      </c>
    </row>
    <row r="9" spans="2:26" x14ac:dyDescent="0.2">
      <c r="B9" s="117" t="s">
        <v>28</v>
      </c>
      <c r="C9" s="149">
        <v>2.9500000000000002E-2</v>
      </c>
      <c r="D9" s="166">
        <v>1.84E-2</v>
      </c>
      <c r="E9" s="120">
        <v>1.5600000000000001E-2</v>
      </c>
      <c r="F9" s="166">
        <v>5.8000000000000005E-3</v>
      </c>
      <c r="G9" s="120">
        <v>8.9999999999999993E-3</v>
      </c>
      <c r="H9" s="167">
        <v>5.0000000000000001E-3</v>
      </c>
    </row>
    <row r="10" spans="2:26" x14ac:dyDescent="0.2">
      <c r="B10" s="117" t="s">
        <v>29</v>
      </c>
      <c r="C10" s="149">
        <v>4.9500000000000002E-2</v>
      </c>
      <c r="D10" s="166">
        <v>3.1600000000000003E-2</v>
      </c>
      <c r="E10" s="120">
        <v>4.1399999999999999E-2</v>
      </c>
      <c r="F10" s="166">
        <v>1.2100000000000001E-2</v>
      </c>
      <c r="G10" s="120">
        <v>1.7000000000000001E-2</v>
      </c>
      <c r="H10" s="167">
        <v>1.0999999999999999E-2</v>
      </c>
    </row>
    <row r="11" spans="2:26" x14ac:dyDescent="0.2">
      <c r="B11" s="117" t="s">
        <v>30</v>
      </c>
      <c r="C11" s="149">
        <v>7.0000000000000007E-2</v>
      </c>
      <c r="D11" s="166">
        <v>5.2700000000000004E-2</v>
      </c>
      <c r="E11" s="120">
        <v>7.9500000000000001E-2</v>
      </c>
      <c r="F11" s="166">
        <v>2.81E-2</v>
      </c>
      <c r="G11" s="120">
        <v>3.7999999999999999E-2</v>
      </c>
      <c r="H11" s="167">
        <v>2.5000000000000001E-2</v>
      </c>
    </row>
    <row r="12" spans="2:26" x14ac:dyDescent="0.2">
      <c r="B12" s="117" t="s">
        <v>37</v>
      </c>
      <c r="C12" s="149">
        <v>8.4699999999999998E-2</v>
      </c>
      <c r="D12" s="166">
        <v>7.2900000000000006E-2</v>
      </c>
      <c r="E12" s="120">
        <v>9.7000000000000003E-2</v>
      </c>
      <c r="F12" s="166">
        <v>5.6600000000000004E-2</v>
      </c>
      <c r="G12" s="120">
        <v>0.1</v>
      </c>
      <c r="H12" s="167">
        <v>4.5999999999999999E-2</v>
      </c>
    </row>
    <row r="13" spans="2:26" x14ac:dyDescent="0.2">
      <c r="B13" s="117" t="s">
        <v>31</v>
      </c>
      <c r="C13" s="149">
        <v>9.6300000000000011E-2</v>
      </c>
      <c r="D13" s="166">
        <v>8.8599999999999998E-2</v>
      </c>
      <c r="E13" s="120">
        <v>0.10250000000000001</v>
      </c>
      <c r="F13" s="166">
        <v>7.3700000000000002E-2</v>
      </c>
      <c r="G13" s="120">
        <v>0.151</v>
      </c>
      <c r="H13" s="167">
        <v>7.9000000000000001E-2</v>
      </c>
    </row>
    <row r="14" spans="2:26" x14ac:dyDescent="0.2">
      <c r="B14" s="117" t="s">
        <v>32</v>
      </c>
      <c r="C14" s="149">
        <v>8.6900000000000005E-2</v>
      </c>
      <c r="D14" s="166">
        <v>8.9800000000000005E-2</v>
      </c>
      <c r="E14" s="120">
        <v>0.1037</v>
      </c>
      <c r="F14" s="166">
        <v>9.290000000000001E-2</v>
      </c>
      <c r="G14" s="120">
        <v>0.16700000000000001</v>
      </c>
      <c r="H14" s="167">
        <v>0.12</v>
      </c>
    </row>
    <row r="15" spans="2:26" x14ac:dyDescent="0.2">
      <c r="B15" s="117" t="s">
        <v>33</v>
      </c>
      <c r="C15" s="149">
        <v>7.8200000000000006E-2</v>
      </c>
      <c r="D15" s="166">
        <v>8.6199999999999999E-2</v>
      </c>
      <c r="E15" s="120">
        <v>0.1022</v>
      </c>
      <c r="F15" s="166">
        <v>9.5700000000000007E-2</v>
      </c>
      <c r="G15" s="120">
        <v>0.158</v>
      </c>
      <c r="H15" s="167">
        <v>0.14699999999999999</v>
      </c>
    </row>
    <row r="16" spans="2:26" x14ac:dyDescent="0.2">
      <c r="B16" s="117" t="s">
        <v>34</v>
      </c>
      <c r="C16" s="149">
        <v>8.0700000000000008E-2</v>
      </c>
      <c r="D16" s="166">
        <v>8.4600000000000009E-2</v>
      </c>
      <c r="E16" s="120">
        <v>9.2600000000000002E-2</v>
      </c>
      <c r="F16" s="166">
        <v>0.1019</v>
      </c>
      <c r="G16" s="120">
        <v>0.13</v>
      </c>
      <c r="H16" s="167">
        <v>0.156</v>
      </c>
    </row>
    <row r="17" spans="2:8" x14ac:dyDescent="0.2">
      <c r="B17" s="117" t="s">
        <v>35</v>
      </c>
      <c r="C17" s="149">
        <v>8.5699999999999998E-2</v>
      </c>
      <c r="D17" s="166">
        <v>8.7400000000000005E-2</v>
      </c>
      <c r="E17" s="120">
        <v>8.77E-2</v>
      </c>
      <c r="F17" s="166">
        <v>0.1047</v>
      </c>
      <c r="G17" s="120">
        <v>9.4E-2</v>
      </c>
      <c r="H17" s="167">
        <v>0.158</v>
      </c>
    </row>
    <row r="18" spans="2:8" x14ac:dyDescent="0.2">
      <c r="B18" s="117" t="s">
        <v>36</v>
      </c>
      <c r="C18" s="149">
        <v>8.7500000000000008E-2</v>
      </c>
      <c r="D18" s="166">
        <v>8.8800000000000004E-2</v>
      </c>
      <c r="E18" s="120">
        <v>8.3600000000000008E-2</v>
      </c>
      <c r="F18" s="166">
        <v>9.5700000000000007E-2</v>
      </c>
      <c r="G18" s="120">
        <v>5.0999999999999997E-2</v>
      </c>
      <c r="H18" s="167">
        <v>0.13</v>
      </c>
    </row>
    <row r="19" spans="2:8" x14ac:dyDescent="0.2">
      <c r="B19" s="159" t="s">
        <v>141</v>
      </c>
      <c r="C19" s="149">
        <v>7.6800000000000007E-2</v>
      </c>
      <c r="D19" s="166">
        <v>7.8100000000000003E-2</v>
      </c>
      <c r="E19" s="120">
        <v>6.9400000000000003E-2</v>
      </c>
      <c r="F19" s="166">
        <v>8.900000000000001E-2</v>
      </c>
      <c r="G19" s="120">
        <v>2.3E-2</v>
      </c>
      <c r="H19" s="167">
        <v>4.5999999999999999E-2</v>
      </c>
    </row>
    <row r="20" spans="2:8" x14ac:dyDescent="0.2">
      <c r="B20" s="157" t="s">
        <v>142</v>
      </c>
      <c r="C20" s="149">
        <v>6.54E-2</v>
      </c>
      <c r="D20" s="166">
        <v>6.9500000000000006E-2</v>
      </c>
      <c r="E20" s="120">
        <v>5.6300000000000003E-2</v>
      </c>
      <c r="F20" s="166">
        <v>7.4400000000000008E-2</v>
      </c>
      <c r="G20" s="120">
        <v>1.7000000000000001E-2</v>
      </c>
      <c r="H20" s="167">
        <v>1.9E-2</v>
      </c>
    </row>
    <row r="21" spans="2:8" x14ac:dyDescent="0.2">
      <c r="B21" s="157" t="s">
        <v>160</v>
      </c>
      <c r="C21" s="149">
        <v>4.2700000000000002E-2</v>
      </c>
      <c r="D21" s="166">
        <v>6.3399999999999998E-2</v>
      </c>
      <c r="E21" s="120">
        <v>2.9500000000000002E-2</v>
      </c>
      <c r="F21" s="166">
        <v>6.3399999999999998E-2</v>
      </c>
      <c r="G21" s="120">
        <v>1.0999999999999999E-2</v>
      </c>
      <c r="H21" s="167">
        <v>1.2999999999999999E-2</v>
      </c>
    </row>
    <row r="22" spans="2:8" x14ac:dyDescent="0.2">
      <c r="B22" s="157" t="s">
        <v>161</v>
      </c>
      <c r="C22" s="149">
        <v>1.8600000000000002E-2</v>
      </c>
      <c r="D22" s="166">
        <v>4.6200000000000005E-2</v>
      </c>
      <c r="E22" s="120">
        <v>1.32E-2</v>
      </c>
      <c r="F22" s="172">
        <v>5.0599999999999999E-2</v>
      </c>
      <c r="G22" s="120">
        <v>7.0000000000000001E-3</v>
      </c>
      <c r="H22" s="167">
        <v>1.0999999999999999E-2</v>
      </c>
    </row>
    <row r="23" spans="2:8" ht="13.5" thickBot="1" x14ac:dyDescent="0.25">
      <c r="B23" s="160" t="s">
        <v>186</v>
      </c>
      <c r="C23" s="150">
        <v>1.4400000000000001E-2</v>
      </c>
      <c r="D23" s="168">
        <v>2.2700000000000001E-2</v>
      </c>
      <c r="E23" s="169">
        <v>1.5100000000000001E-2</v>
      </c>
      <c r="F23" s="168">
        <v>5.21E-2</v>
      </c>
      <c r="G23" s="169">
        <v>2.1000000000000001E-2</v>
      </c>
      <c r="H23" s="170">
        <v>0.03</v>
      </c>
    </row>
    <row r="24" spans="2:8" ht="13.5" thickBot="1" x14ac:dyDescent="0.25">
      <c r="B24" s="142"/>
      <c r="C24" s="143">
        <f>SUM(C7:C23)</f>
        <v>0.995</v>
      </c>
      <c r="D24" s="161">
        <f t="shared" ref="D24:H24" si="0">SUM(D7:D23)</f>
        <v>0.99820000000000009</v>
      </c>
      <c r="E24" s="143">
        <f t="shared" si="0"/>
        <v>1</v>
      </c>
      <c r="F24" s="161">
        <f t="shared" si="0"/>
        <v>1</v>
      </c>
      <c r="G24" s="143">
        <f t="shared" si="0"/>
        <v>1</v>
      </c>
      <c r="H24" s="144">
        <f t="shared" si="0"/>
        <v>1</v>
      </c>
    </row>
    <row r="25" spans="2:8" ht="13.5" thickTop="1" x14ac:dyDescent="0.2"/>
    <row r="27" spans="2:8" x14ac:dyDescent="0.2">
      <c r="B27" s="66" t="s">
        <v>259</v>
      </c>
    </row>
    <row r="28" spans="2:8" x14ac:dyDescent="0.2">
      <c r="B28" s="66" t="s">
        <v>203</v>
      </c>
    </row>
    <row r="29" spans="2:8" x14ac:dyDescent="0.2">
      <c r="B29" s="66" t="s">
        <v>201</v>
      </c>
    </row>
    <row r="30" spans="2:8" x14ac:dyDescent="0.2">
      <c r="B30" s="111" t="s">
        <v>260</v>
      </c>
    </row>
    <row r="31" spans="2:8" x14ac:dyDescent="0.2">
      <c r="B31" s="111" t="s">
        <v>263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Z116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  <col min="12" max="12" width="11.5703125" customWidth="1"/>
    <col min="13" max="18" width="12.28515625" customWidth="1"/>
  </cols>
  <sheetData>
    <row r="2" spans="2:26" x14ac:dyDescent="0.2">
      <c r="B2" s="232" t="s">
        <v>176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93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1.4999999999999999E-2</v>
      </c>
      <c r="D7" s="116">
        <v>0.01</v>
      </c>
      <c r="F7" s="8" t="s">
        <v>12</v>
      </c>
      <c r="G7" s="13">
        <f>27+9+7</f>
        <v>43</v>
      </c>
      <c r="H7" s="14">
        <f t="shared" ref="H7:H18" si="0">G7/$G$20</f>
        <v>9.8195935145010283E-3</v>
      </c>
      <c r="I7" s="13">
        <v>17</v>
      </c>
      <c r="J7" s="15">
        <f t="shared" ref="J7:J18" si="1">I7/$I$20</f>
        <v>5.6384742951907131E-3</v>
      </c>
      <c r="L7" s="11">
        <f t="shared" ref="L7:L18" si="2">+G7+I7</f>
        <v>60</v>
      </c>
      <c r="M7" s="56">
        <f t="shared" ref="M7:M18" si="3">+L7/($G$20+$I$20)</f>
        <v>8.1146875845279961E-3</v>
      </c>
    </row>
    <row r="8" spans="2:26" x14ac:dyDescent="0.2">
      <c r="B8" s="117" t="s">
        <v>27</v>
      </c>
      <c r="C8" s="118">
        <v>2.5000000000000001E-2</v>
      </c>
      <c r="D8" s="119">
        <v>2.4E-2</v>
      </c>
      <c r="F8" s="6" t="s">
        <v>1</v>
      </c>
      <c r="G8" s="9">
        <f>60+22+2</f>
        <v>84</v>
      </c>
      <c r="H8" s="16">
        <f t="shared" si="0"/>
        <v>1.918246174925782E-2</v>
      </c>
      <c r="I8" s="9">
        <v>58</v>
      </c>
      <c r="J8" s="17">
        <f t="shared" si="1"/>
        <v>1.9237147595356552E-2</v>
      </c>
      <c r="L8" s="11">
        <f t="shared" si="2"/>
        <v>142</v>
      </c>
      <c r="M8" s="56">
        <f t="shared" si="3"/>
        <v>1.9204760616716256E-2</v>
      </c>
    </row>
    <row r="9" spans="2:26" x14ac:dyDescent="0.2">
      <c r="B9" s="117" t="s">
        <v>28</v>
      </c>
      <c r="C9" s="120">
        <v>3.9E-2</v>
      </c>
      <c r="D9" s="119">
        <v>2.4E-2</v>
      </c>
      <c r="F9" s="6" t="s">
        <v>2</v>
      </c>
      <c r="G9" s="9">
        <f>111+32+13</f>
        <v>156</v>
      </c>
      <c r="H9" s="16">
        <f t="shared" si="0"/>
        <v>3.5624571820050237E-2</v>
      </c>
      <c r="I9" s="9">
        <v>77</v>
      </c>
      <c r="J9" s="17">
        <f t="shared" si="1"/>
        <v>2.5538971807628524E-2</v>
      </c>
      <c r="L9" s="11">
        <f t="shared" si="2"/>
        <v>233</v>
      </c>
      <c r="M9" s="56">
        <f t="shared" si="3"/>
        <v>3.1512036786583715E-2</v>
      </c>
    </row>
    <row r="10" spans="2:26" x14ac:dyDescent="0.2">
      <c r="B10" s="117" t="s">
        <v>29</v>
      </c>
      <c r="C10" s="120">
        <v>5.5E-2</v>
      </c>
      <c r="D10" s="119">
        <v>3.6999999999999998E-2</v>
      </c>
      <c r="F10" s="6" t="s">
        <v>3</v>
      </c>
      <c r="G10" s="9">
        <f>145+41+17</f>
        <v>203</v>
      </c>
      <c r="H10" s="16">
        <f t="shared" si="0"/>
        <v>4.6357615894039736E-2</v>
      </c>
      <c r="I10" s="9">
        <v>133</v>
      </c>
      <c r="J10" s="17">
        <f t="shared" si="1"/>
        <v>4.4112769485903813E-2</v>
      </c>
      <c r="L10" s="11">
        <f t="shared" si="2"/>
        <v>336</v>
      </c>
      <c r="M10" s="56">
        <f t="shared" si="3"/>
        <v>4.5442250473356774E-2</v>
      </c>
    </row>
    <row r="11" spans="2:26" x14ac:dyDescent="0.2">
      <c r="B11" s="117" t="s">
        <v>30</v>
      </c>
      <c r="C11" s="120"/>
      <c r="D11" s="119"/>
      <c r="F11" s="6" t="s">
        <v>4</v>
      </c>
      <c r="G11" s="9">
        <f>127+31+26</f>
        <v>184</v>
      </c>
      <c r="H11" s="16">
        <f t="shared" si="0"/>
        <v>4.201872573646951E-2</v>
      </c>
      <c r="I11" s="9">
        <v>112</v>
      </c>
      <c r="J11" s="17">
        <f t="shared" si="1"/>
        <v>3.7147595356550579E-2</v>
      </c>
      <c r="L11" s="11">
        <f t="shared" si="2"/>
        <v>296</v>
      </c>
      <c r="M11" s="56">
        <f t="shared" si="3"/>
        <v>4.0032458750338111E-2</v>
      </c>
    </row>
    <row r="12" spans="2:26" x14ac:dyDescent="0.2">
      <c r="B12" s="117" t="s">
        <v>37</v>
      </c>
      <c r="C12" s="120"/>
      <c r="D12" s="119"/>
      <c r="F12" s="6" t="s">
        <v>5</v>
      </c>
      <c r="G12" s="9">
        <f>252+48+32</f>
        <v>332</v>
      </c>
      <c r="H12" s="16">
        <f t="shared" si="0"/>
        <v>7.5816396437542816E-2</v>
      </c>
      <c r="I12" s="9">
        <v>190</v>
      </c>
      <c r="J12" s="17">
        <f t="shared" si="1"/>
        <v>6.3018242122719739E-2</v>
      </c>
      <c r="L12" s="11">
        <f t="shared" si="2"/>
        <v>522</v>
      </c>
      <c r="M12" s="56">
        <f t="shared" si="3"/>
        <v>7.0597781985393557E-2</v>
      </c>
    </row>
    <row r="13" spans="2:26" x14ac:dyDescent="0.2">
      <c r="B13" s="117" t="s">
        <v>31</v>
      </c>
      <c r="C13" s="120"/>
      <c r="D13" s="119"/>
      <c r="F13" s="6" t="s">
        <v>6</v>
      </c>
      <c r="G13" s="9">
        <f>210+42+38</f>
        <v>290</v>
      </c>
      <c r="H13" s="16">
        <f t="shared" si="0"/>
        <v>6.6225165562913912E-2</v>
      </c>
      <c r="I13" s="9">
        <v>280</v>
      </c>
      <c r="J13" s="17">
        <f t="shared" si="1"/>
        <v>9.2868988391376445E-2</v>
      </c>
      <c r="L13" s="11">
        <f t="shared" si="2"/>
        <v>570</v>
      </c>
      <c r="M13" s="56">
        <f t="shared" si="3"/>
        <v>7.7089532053015955E-2</v>
      </c>
    </row>
    <row r="14" spans="2:26" x14ac:dyDescent="0.2">
      <c r="B14" s="117" t="s">
        <v>32</v>
      </c>
      <c r="C14" s="120"/>
      <c r="D14" s="119"/>
      <c r="F14" s="6" t="s">
        <v>7</v>
      </c>
      <c r="G14" s="9">
        <f>238+39+22</f>
        <v>299</v>
      </c>
      <c r="H14" s="16">
        <f t="shared" si="0"/>
        <v>6.8280429321762953E-2</v>
      </c>
      <c r="I14" s="9">
        <v>213</v>
      </c>
      <c r="J14" s="17">
        <f t="shared" si="1"/>
        <v>7.0646766169154232E-2</v>
      </c>
      <c r="L14" s="11">
        <f t="shared" si="2"/>
        <v>512</v>
      </c>
      <c r="M14" s="56">
        <f t="shared" si="3"/>
        <v>6.9245334054638896E-2</v>
      </c>
    </row>
    <row r="15" spans="2:26" x14ac:dyDescent="0.2">
      <c r="B15" s="117" t="s">
        <v>33</v>
      </c>
      <c r="C15" s="120"/>
      <c r="D15" s="119"/>
      <c r="F15" s="6" t="s">
        <v>8</v>
      </c>
      <c r="G15" s="9">
        <f>217+27+23</f>
        <v>267</v>
      </c>
      <c r="H15" s="16">
        <f t="shared" si="0"/>
        <v>6.0972824845855221E-2</v>
      </c>
      <c r="I15" s="9">
        <v>206</v>
      </c>
      <c r="J15" s="17">
        <f t="shared" si="1"/>
        <v>6.8325041459369823E-2</v>
      </c>
      <c r="L15" s="11">
        <f t="shared" si="2"/>
        <v>473</v>
      </c>
      <c r="M15" s="56">
        <f t="shared" si="3"/>
        <v>6.3970787124695699E-2</v>
      </c>
    </row>
    <row r="16" spans="2:26" x14ac:dyDescent="0.2">
      <c r="B16" s="117" t="s">
        <v>34</v>
      </c>
      <c r="C16" s="120"/>
      <c r="D16" s="119"/>
      <c r="F16" s="6" t="s">
        <v>9</v>
      </c>
      <c r="G16" s="9">
        <f>216+42+31</f>
        <v>289</v>
      </c>
      <c r="H16" s="16">
        <f t="shared" si="0"/>
        <v>6.5996802923041789E-2</v>
      </c>
      <c r="I16" s="9">
        <v>224</v>
      </c>
      <c r="J16" s="17">
        <f t="shared" si="1"/>
        <v>7.4295190713101159E-2</v>
      </c>
      <c r="L16" s="11">
        <f t="shared" si="2"/>
        <v>513</v>
      </c>
      <c r="M16" s="56">
        <f t="shared" si="3"/>
        <v>6.9380578847714369E-2</v>
      </c>
    </row>
    <row r="17" spans="2:13" x14ac:dyDescent="0.2">
      <c r="B17" s="117" t="s">
        <v>35</v>
      </c>
      <c r="C17" s="120"/>
      <c r="D17" s="119"/>
      <c r="F17" s="6" t="s">
        <v>10</v>
      </c>
      <c r="G17" s="9">
        <f>262+30+31</f>
        <v>323</v>
      </c>
      <c r="H17" s="16">
        <f t="shared" si="0"/>
        <v>7.3761132678693761E-2</v>
      </c>
      <c r="I17" s="9">
        <v>231</v>
      </c>
      <c r="J17" s="17">
        <f t="shared" si="1"/>
        <v>7.6616915422885568E-2</v>
      </c>
      <c r="L17" s="11">
        <f t="shared" si="2"/>
        <v>554</v>
      </c>
      <c r="M17" s="56">
        <f t="shared" si="3"/>
        <v>7.4925615363808498E-2</v>
      </c>
    </row>
    <row r="18" spans="2:13" ht="13.5" thickBot="1" x14ac:dyDescent="0.25">
      <c r="B18" s="121" t="s">
        <v>36</v>
      </c>
      <c r="C18" s="122"/>
      <c r="D18" s="123"/>
      <c r="F18" s="7" t="s">
        <v>11</v>
      </c>
      <c r="G18" s="18">
        <f>240+28+27</f>
        <v>295</v>
      </c>
      <c r="H18" s="19">
        <f t="shared" si="0"/>
        <v>6.7366978762274488E-2</v>
      </c>
      <c r="I18" s="18">
        <v>163</v>
      </c>
      <c r="J18" s="20">
        <f t="shared" si="1"/>
        <v>5.4063018242122722E-2</v>
      </c>
      <c r="L18" s="11">
        <f t="shared" si="2"/>
        <v>458</v>
      </c>
      <c r="M18" s="56">
        <f t="shared" si="3"/>
        <v>6.1942115228563702E-2</v>
      </c>
    </row>
    <row r="19" spans="2:13" ht="14.25" thickTop="1" thickBot="1" x14ac:dyDescent="0.25">
      <c r="B19" s="124"/>
      <c r="C19" s="125">
        <f>SUM(C7:C18)</f>
        <v>0.13400000000000001</v>
      </c>
      <c r="D19" s="126">
        <f>SUM(D7:D18)</f>
        <v>9.5000000000000001E-2</v>
      </c>
      <c r="F19" s="1" t="s">
        <v>83</v>
      </c>
      <c r="H19" s="21">
        <f>SUM(H7:H18)</f>
        <v>0.63142269924640326</v>
      </c>
      <c r="J19" s="21">
        <f>SUM(J7:J18)</f>
        <v>0.63150912106135992</v>
      </c>
    </row>
    <row r="20" spans="2:13" ht="13.5" thickTop="1" x14ac:dyDescent="0.2">
      <c r="F20" s="1" t="s">
        <v>21</v>
      </c>
      <c r="G20" s="11">
        <f>3334+619+426</f>
        <v>4379</v>
      </c>
      <c r="H20" s="21"/>
      <c r="I20" s="11">
        <f>3015</f>
        <v>3015</v>
      </c>
      <c r="J20" s="21"/>
    </row>
    <row r="21" spans="2:13" x14ac:dyDescent="0.2">
      <c r="F21" s="1" t="s">
        <v>84</v>
      </c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92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34+77+32</f>
        <v>143</v>
      </c>
      <c r="H25" s="14">
        <f>G25/G38</f>
        <v>2.604735883424408E-2</v>
      </c>
      <c r="I25" s="13">
        <v>73</v>
      </c>
      <c r="J25" s="15">
        <f>I25/I38</f>
        <v>1.6320143080706461E-2</v>
      </c>
    </row>
    <row r="26" spans="2:13" x14ac:dyDescent="0.2">
      <c r="F26" s="6" t="s">
        <v>1</v>
      </c>
      <c r="G26" s="9">
        <f>65+114+37</f>
        <v>216</v>
      </c>
      <c r="H26" s="16">
        <f t="shared" ref="H26:H36" si="4">G26/$G$38</f>
        <v>3.9344262295081971E-2</v>
      </c>
      <c r="I26" s="9">
        <v>180</v>
      </c>
      <c r="J26" s="17">
        <f t="shared" ref="J26:J36" si="5">I26/$I$38</f>
        <v>4.0241448692152917E-2</v>
      </c>
    </row>
    <row r="27" spans="2:13" x14ac:dyDescent="0.2">
      <c r="F27" s="6" t="s">
        <v>2</v>
      </c>
      <c r="G27" s="9">
        <f>82+115+48</f>
        <v>245</v>
      </c>
      <c r="H27" s="16">
        <f t="shared" si="4"/>
        <v>4.4626593806921674E-2</v>
      </c>
      <c r="I27" s="9">
        <v>140</v>
      </c>
      <c r="J27" s="17">
        <f t="shared" si="5"/>
        <v>3.1298904538341159E-2</v>
      </c>
    </row>
    <row r="28" spans="2:13" x14ac:dyDescent="0.2">
      <c r="F28" s="6" t="s">
        <v>3</v>
      </c>
      <c r="G28" s="9">
        <f>83+142+56</f>
        <v>281</v>
      </c>
      <c r="H28" s="16">
        <f t="shared" si="4"/>
        <v>5.1183970856102004E-2</v>
      </c>
      <c r="I28" s="9">
        <v>157</v>
      </c>
      <c r="J28" s="17">
        <f t="shared" si="5"/>
        <v>3.5099485803711153E-2</v>
      </c>
    </row>
    <row r="29" spans="2:13" x14ac:dyDescent="0.2">
      <c r="F29" s="6" t="s">
        <v>4</v>
      </c>
      <c r="G29" s="9">
        <f>74+205+54</f>
        <v>333</v>
      </c>
      <c r="H29" s="16">
        <f t="shared" si="4"/>
        <v>6.0655737704918035E-2</v>
      </c>
      <c r="I29" s="9">
        <v>236</v>
      </c>
      <c r="J29" s="17">
        <f t="shared" si="5"/>
        <v>5.2761010507489381E-2</v>
      </c>
    </row>
    <row r="30" spans="2:13" x14ac:dyDescent="0.2">
      <c r="F30" s="6" t="s">
        <v>5</v>
      </c>
      <c r="G30" s="9">
        <f>104+254+115</f>
        <v>473</v>
      </c>
      <c r="H30" s="16">
        <f t="shared" si="4"/>
        <v>8.6156648451730419E-2</v>
      </c>
      <c r="I30" s="9">
        <v>386</v>
      </c>
      <c r="J30" s="17">
        <f t="shared" si="5"/>
        <v>8.6295551084283481E-2</v>
      </c>
    </row>
    <row r="31" spans="2:13" x14ac:dyDescent="0.2">
      <c r="F31" s="6" t="s">
        <v>6</v>
      </c>
      <c r="G31" s="9">
        <f>162+309+101</f>
        <v>572</v>
      </c>
      <c r="H31" s="16">
        <f t="shared" si="4"/>
        <v>0.10418943533697632</v>
      </c>
      <c r="I31" s="9">
        <v>429</v>
      </c>
      <c r="J31" s="17">
        <f t="shared" si="5"/>
        <v>9.5908786049631115E-2</v>
      </c>
    </row>
    <row r="32" spans="2:13" x14ac:dyDescent="0.2">
      <c r="F32" s="6" t="s">
        <v>7</v>
      </c>
      <c r="G32" s="9">
        <f>115+241+57</f>
        <v>413</v>
      </c>
      <c r="H32" s="16">
        <f t="shared" si="4"/>
        <v>7.5227686703096541E-2</v>
      </c>
      <c r="I32" s="9">
        <v>378</v>
      </c>
      <c r="J32" s="17">
        <f t="shared" si="5"/>
        <v>8.4507042253521125E-2</v>
      </c>
    </row>
    <row r="33" spans="6:10" x14ac:dyDescent="0.2">
      <c r="F33" s="6" t="s">
        <v>8</v>
      </c>
      <c r="G33" s="9">
        <f>83+200+76</f>
        <v>359</v>
      </c>
      <c r="H33" s="16">
        <f t="shared" si="4"/>
        <v>6.5391621129326047E-2</v>
      </c>
      <c r="I33" s="9">
        <v>326</v>
      </c>
      <c r="J33" s="17">
        <f t="shared" si="5"/>
        <v>7.2881734853565833E-2</v>
      </c>
    </row>
    <row r="34" spans="6:10" x14ac:dyDescent="0.2">
      <c r="F34" s="6" t="s">
        <v>9</v>
      </c>
      <c r="G34" s="9">
        <f>79+130+68</f>
        <v>277</v>
      </c>
      <c r="H34" s="16">
        <f t="shared" si="4"/>
        <v>5.0455373406193077E-2</v>
      </c>
      <c r="I34" s="9">
        <v>371</v>
      </c>
      <c r="J34" s="17">
        <f t="shared" si="5"/>
        <v>8.2942097026604072E-2</v>
      </c>
    </row>
    <row r="35" spans="6:10" x14ac:dyDescent="0.2">
      <c r="F35" s="6" t="s">
        <v>10</v>
      </c>
      <c r="G35" s="9">
        <f>68+240+107</f>
        <v>415</v>
      </c>
      <c r="H35" s="16">
        <f t="shared" si="4"/>
        <v>7.5591985428050998E-2</v>
      </c>
      <c r="I35" s="9">
        <v>355</v>
      </c>
      <c r="J35" s="17">
        <f t="shared" si="5"/>
        <v>7.9365079365079361E-2</v>
      </c>
    </row>
    <row r="36" spans="6:10" ht="13.5" thickBot="1" x14ac:dyDescent="0.25">
      <c r="F36" s="7" t="s">
        <v>11</v>
      </c>
      <c r="G36" s="18">
        <f>90+274+92</f>
        <v>456</v>
      </c>
      <c r="H36" s="19">
        <f t="shared" si="4"/>
        <v>8.306010928961749E-2</v>
      </c>
      <c r="I36" s="18">
        <v>377</v>
      </c>
      <c r="J36" s="20">
        <f t="shared" si="5"/>
        <v>8.4283478649675836E-2</v>
      </c>
    </row>
    <row r="37" spans="6:10" ht="13.5" thickTop="1" x14ac:dyDescent="0.2">
      <c r="F37" s="12" t="s">
        <v>85</v>
      </c>
      <c r="H37" s="21">
        <f>SUM(H25:H36)</f>
        <v>0.76193078324225871</v>
      </c>
      <c r="J37" s="21">
        <f>SUM(J25:J36)</f>
        <v>0.76190476190476186</v>
      </c>
    </row>
    <row r="38" spans="6:10" x14ac:dyDescent="0.2">
      <c r="F38" s="1" t="s">
        <v>21</v>
      </c>
      <c r="G38" s="11">
        <f>1364+3020+1106</f>
        <v>5490</v>
      </c>
      <c r="H38" s="21"/>
      <c r="I38" s="11">
        <v>4473</v>
      </c>
      <c r="J38" s="21"/>
    </row>
    <row r="39" spans="6:10" x14ac:dyDescent="0.2">
      <c r="F39" s="1" t="s">
        <v>87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91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12+5+2</f>
        <v>19</v>
      </c>
      <c r="H43" s="14">
        <f>G43/G56</f>
        <v>7.874015748031496E-3</v>
      </c>
      <c r="I43" s="13">
        <v>15</v>
      </c>
      <c r="J43" s="15">
        <f>I43/I56</f>
        <v>6.4460678985818649E-3</v>
      </c>
    </row>
    <row r="44" spans="6:10" x14ac:dyDescent="0.2">
      <c r="F44" s="6" t="s">
        <v>1</v>
      </c>
      <c r="G44" s="9">
        <f>22+11+9</f>
        <v>42</v>
      </c>
      <c r="H44" s="16">
        <f t="shared" ref="H44:H54" si="6">G44/$G$56</f>
        <v>1.7405719021964361E-2</v>
      </c>
      <c r="I44" s="9">
        <v>27</v>
      </c>
      <c r="J44" s="17">
        <f t="shared" ref="J44:J54" si="7">I44/$I$56</f>
        <v>1.1602922217447357E-2</v>
      </c>
    </row>
    <row r="45" spans="6:10" x14ac:dyDescent="0.2">
      <c r="F45" s="6" t="s">
        <v>2</v>
      </c>
      <c r="G45" s="9">
        <f>34+20+36</f>
        <v>90</v>
      </c>
      <c r="H45" s="16">
        <f t="shared" si="6"/>
        <v>3.7297969332780768E-2</v>
      </c>
      <c r="I45" s="9">
        <v>38</v>
      </c>
      <c r="J45" s="17">
        <f t="shared" si="7"/>
        <v>1.633003867640739E-2</v>
      </c>
    </row>
    <row r="46" spans="6:10" x14ac:dyDescent="0.2">
      <c r="F46" s="6" t="s">
        <v>3</v>
      </c>
      <c r="G46" s="9">
        <f>91+35+33</f>
        <v>159</v>
      </c>
      <c r="H46" s="16">
        <f t="shared" si="6"/>
        <v>6.5893079154579356E-2</v>
      </c>
      <c r="I46" s="9">
        <v>72</v>
      </c>
      <c r="J46" s="17">
        <f t="shared" si="7"/>
        <v>3.0941125913192952E-2</v>
      </c>
    </row>
    <row r="47" spans="6:10" x14ac:dyDescent="0.2">
      <c r="F47" s="6" t="s">
        <v>4</v>
      </c>
      <c r="G47" s="9">
        <f>56+58+37</f>
        <v>151</v>
      </c>
      <c r="H47" s="16">
        <f t="shared" si="6"/>
        <v>6.2577704102776632E-2</v>
      </c>
      <c r="I47" s="9">
        <v>151</v>
      </c>
      <c r="J47" s="17">
        <f t="shared" si="7"/>
        <v>6.4890416845724108E-2</v>
      </c>
    </row>
    <row r="48" spans="6:10" x14ac:dyDescent="0.2">
      <c r="F48" s="6" t="s">
        <v>5</v>
      </c>
      <c r="G48" s="9">
        <f>66+124+59</f>
        <v>249</v>
      </c>
      <c r="H48" s="16">
        <f t="shared" si="6"/>
        <v>0.10319104848736013</v>
      </c>
      <c r="I48" s="9">
        <v>172</v>
      </c>
      <c r="J48" s="17">
        <f t="shared" si="7"/>
        <v>7.3914911903738723E-2</v>
      </c>
    </row>
    <row r="49" spans="6:10" x14ac:dyDescent="0.2">
      <c r="F49" s="6" t="s">
        <v>6</v>
      </c>
      <c r="G49" s="9">
        <f>90+123+55</f>
        <v>268</v>
      </c>
      <c r="H49" s="16">
        <f t="shared" si="6"/>
        <v>0.11106506423539163</v>
      </c>
      <c r="I49" s="9">
        <v>266</v>
      </c>
      <c r="J49" s="17">
        <f t="shared" si="7"/>
        <v>0.11431027073485174</v>
      </c>
    </row>
    <row r="50" spans="6:10" x14ac:dyDescent="0.2">
      <c r="F50" s="6" t="s">
        <v>7</v>
      </c>
      <c r="G50" s="9">
        <f>65+114+40</f>
        <v>219</v>
      </c>
      <c r="H50" s="16">
        <f t="shared" si="6"/>
        <v>9.0758392043099878E-2</v>
      </c>
      <c r="I50" s="9">
        <v>251</v>
      </c>
      <c r="J50" s="17">
        <f t="shared" si="7"/>
        <v>0.10786420283626988</v>
      </c>
    </row>
    <row r="51" spans="6:10" x14ac:dyDescent="0.2">
      <c r="F51" s="6" t="s">
        <v>8</v>
      </c>
      <c r="G51" s="9">
        <f>44+66+33</f>
        <v>143</v>
      </c>
      <c r="H51" s="16">
        <f t="shared" si="6"/>
        <v>5.9262329050973894E-2</v>
      </c>
      <c r="I51" s="9">
        <v>208</v>
      </c>
      <c r="J51" s="17">
        <f t="shared" si="7"/>
        <v>8.9385474860335198E-2</v>
      </c>
    </row>
    <row r="52" spans="6:10" x14ac:dyDescent="0.2">
      <c r="F52" s="6" t="s">
        <v>9</v>
      </c>
      <c r="G52" s="9">
        <f>32+55+41</f>
        <v>128</v>
      </c>
      <c r="H52" s="16">
        <f t="shared" si="6"/>
        <v>5.304600082884376E-2</v>
      </c>
      <c r="I52" s="9">
        <v>163</v>
      </c>
      <c r="J52" s="17">
        <f t="shared" si="7"/>
        <v>7.00472711645896E-2</v>
      </c>
    </row>
    <row r="53" spans="6:10" x14ac:dyDescent="0.2">
      <c r="F53" s="6" t="s">
        <v>10</v>
      </c>
      <c r="G53" s="9">
        <f>67+80+45</f>
        <v>192</v>
      </c>
      <c r="H53" s="16">
        <f t="shared" si="6"/>
        <v>7.9569001243265644E-2</v>
      </c>
      <c r="I53" s="9">
        <v>215</v>
      </c>
      <c r="J53" s="17">
        <f t="shared" si="7"/>
        <v>9.2393639879673403E-2</v>
      </c>
    </row>
    <row r="54" spans="6:10" ht="13.5" thickBot="1" x14ac:dyDescent="0.25">
      <c r="F54" s="7" t="s">
        <v>11</v>
      </c>
      <c r="G54" s="18">
        <f>97+117+47</f>
        <v>261</v>
      </c>
      <c r="H54" s="19">
        <f t="shared" si="6"/>
        <v>0.10816411106506424</v>
      </c>
      <c r="I54" s="18">
        <v>275</v>
      </c>
      <c r="J54" s="20">
        <f t="shared" si="7"/>
        <v>0.11817791147400086</v>
      </c>
    </row>
    <row r="55" spans="6:10" ht="13.5" thickTop="1" x14ac:dyDescent="0.2">
      <c r="F55" s="12" t="s">
        <v>86</v>
      </c>
      <c r="H55" s="21">
        <f>SUM(H43:H54)</f>
        <v>0.79610443431413191</v>
      </c>
      <c r="J55" s="21">
        <f>SUM(J43:J54)</f>
        <v>0.79630425440481312</v>
      </c>
    </row>
    <row r="56" spans="6:10" x14ac:dyDescent="0.2">
      <c r="F56" s="1" t="s">
        <v>21</v>
      </c>
      <c r="G56" s="11">
        <f>849+1015+549</f>
        <v>2413</v>
      </c>
      <c r="H56" s="21"/>
      <c r="I56" s="11">
        <v>2327</v>
      </c>
    </row>
    <row r="57" spans="6:10" x14ac:dyDescent="0.2">
      <c r="F57" s="1" t="s">
        <v>88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205</v>
      </c>
      <c r="H62" s="14">
        <f t="shared" ref="H62:H73" si="9">AVERAGE(H7,H25,H43)</f>
        <v>1.4580322698925535E-2</v>
      </c>
      <c r="I62" s="13">
        <f t="shared" ref="I62:I73" si="10">+I7+I25+I43</f>
        <v>105</v>
      </c>
      <c r="J62" s="15">
        <f t="shared" ref="J62:J73" si="11">+AVERAGE(J7, J25, J43)</f>
        <v>9.4682284248263464E-3</v>
      </c>
    </row>
    <row r="63" spans="6:10" x14ac:dyDescent="0.2">
      <c r="F63" s="6" t="s">
        <v>27</v>
      </c>
      <c r="G63" s="9">
        <f t="shared" si="8"/>
        <v>342</v>
      </c>
      <c r="H63" s="16">
        <f t="shared" si="9"/>
        <v>2.5310814355434714E-2</v>
      </c>
      <c r="I63" s="9">
        <f t="shared" si="10"/>
        <v>265</v>
      </c>
      <c r="J63" s="17">
        <f t="shared" si="11"/>
        <v>2.3693839501652273E-2</v>
      </c>
    </row>
    <row r="64" spans="6:10" x14ac:dyDescent="0.2">
      <c r="F64" s="6" t="s">
        <v>28</v>
      </c>
      <c r="G64" s="9">
        <f t="shared" si="8"/>
        <v>491</v>
      </c>
      <c r="H64" s="16">
        <f t="shared" si="9"/>
        <v>3.9183044986584224E-2</v>
      </c>
      <c r="I64" s="9">
        <f t="shared" si="10"/>
        <v>255</v>
      </c>
      <c r="J64" s="17">
        <f t="shared" si="11"/>
        <v>2.4389305007459023E-2</v>
      </c>
    </row>
    <row r="65" spans="6:10" x14ac:dyDescent="0.2">
      <c r="F65" s="6" t="s">
        <v>29</v>
      </c>
      <c r="G65" s="9">
        <f t="shared" si="8"/>
        <v>643</v>
      </c>
      <c r="H65" s="16">
        <f t="shared" si="9"/>
        <v>5.447822196824037E-2</v>
      </c>
      <c r="I65" s="9">
        <f t="shared" si="10"/>
        <v>362</v>
      </c>
      <c r="J65" s="17">
        <f t="shared" si="11"/>
        <v>3.6717793734269304E-2</v>
      </c>
    </row>
    <row r="66" spans="6:10" x14ac:dyDescent="0.2">
      <c r="F66" s="6" t="s">
        <v>30</v>
      </c>
      <c r="G66" s="9">
        <f t="shared" si="8"/>
        <v>668</v>
      </c>
      <c r="H66" s="16">
        <f t="shared" si="9"/>
        <v>5.5084055848054723E-2</v>
      </c>
      <c r="I66" s="9">
        <f t="shared" si="10"/>
        <v>499</v>
      </c>
      <c r="J66" s="17">
        <f t="shared" si="11"/>
        <v>5.1599674236588018E-2</v>
      </c>
    </row>
    <row r="67" spans="6:10" x14ac:dyDescent="0.2">
      <c r="F67" s="6" t="s">
        <v>37</v>
      </c>
      <c r="G67" s="9">
        <f t="shared" si="8"/>
        <v>1054</v>
      </c>
      <c r="H67" s="16">
        <f t="shared" si="9"/>
        <v>8.8388031125544456E-2</v>
      </c>
      <c r="I67" s="9">
        <f t="shared" si="10"/>
        <v>748</v>
      </c>
      <c r="J67" s="17">
        <f t="shared" si="11"/>
        <v>7.4409568370247314E-2</v>
      </c>
    </row>
    <row r="68" spans="6:10" x14ac:dyDescent="0.2">
      <c r="F68" s="6" t="s">
        <v>31</v>
      </c>
      <c r="G68" s="9">
        <f t="shared" si="8"/>
        <v>1130</v>
      </c>
      <c r="H68" s="16">
        <f t="shared" si="9"/>
        <v>9.3826555045093962E-2</v>
      </c>
      <c r="I68" s="9">
        <f t="shared" si="10"/>
        <v>975</v>
      </c>
      <c r="J68" s="17">
        <f t="shared" si="11"/>
        <v>0.1010293483919531</v>
      </c>
    </row>
    <row r="69" spans="6:10" x14ac:dyDescent="0.2">
      <c r="F69" s="6" t="s">
        <v>32</v>
      </c>
      <c r="G69" s="9">
        <f t="shared" si="8"/>
        <v>931</v>
      </c>
      <c r="H69" s="16">
        <f t="shared" si="9"/>
        <v>7.8088836022653124E-2</v>
      </c>
      <c r="I69" s="9">
        <f t="shared" si="10"/>
        <v>842</v>
      </c>
      <c r="J69" s="17">
        <f t="shared" si="11"/>
        <v>8.7672670419648394E-2</v>
      </c>
    </row>
    <row r="70" spans="6:10" x14ac:dyDescent="0.2">
      <c r="F70" s="6" t="s">
        <v>33</v>
      </c>
      <c r="G70" s="9">
        <f t="shared" si="8"/>
        <v>769</v>
      </c>
      <c r="H70" s="16">
        <f t="shared" si="9"/>
        <v>6.1875591675385054E-2</v>
      </c>
      <c r="I70" s="9">
        <f t="shared" si="10"/>
        <v>740</v>
      </c>
      <c r="J70" s="17">
        <f t="shared" si="11"/>
        <v>7.6864083724423618E-2</v>
      </c>
    </row>
    <row r="71" spans="6:10" x14ac:dyDescent="0.2">
      <c r="F71" s="6" t="s">
        <v>34</v>
      </c>
      <c r="G71" s="9">
        <f t="shared" si="8"/>
        <v>694</v>
      </c>
      <c r="H71" s="16">
        <f t="shared" si="9"/>
        <v>5.6499392386026213E-2</v>
      </c>
      <c r="I71" s="9">
        <f t="shared" si="10"/>
        <v>758</v>
      </c>
      <c r="J71" s="17">
        <f t="shared" si="11"/>
        <v>7.5761519634764948E-2</v>
      </c>
    </row>
    <row r="72" spans="6:10" x14ac:dyDescent="0.2">
      <c r="F72" s="6" t="s">
        <v>35</v>
      </c>
      <c r="G72" s="9">
        <f t="shared" si="8"/>
        <v>930</v>
      </c>
      <c r="H72" s="16">
        <f t="shared" si="9"/>
        <v>7.630737311667013E-2</v>
      </c>
      <c r="I72" s="9">
        <f t="shared" si="10"/>
        <v>801</v>
      </c>
      <c r="J72" s="17">
        <f t="shared" si="11"/>
        <v>8.279187822254612E-2</v>
      </c>
    </row>
    <row r="73" spans="6:10" ht="13.5" thickBot="1" x14ac:dyDescent="0.25">
      <c r="F73" s="7" t="s">
        <v>36</v>
      </c>
      <c r="G73" s="18">
        <f t="shared" si="8"/>
        <v>1012</v>
      </c>
      <c r="H73" s="65">
        <f t="shared" si="9"/>
        <v>8.6197066372318734E-2</v>
      </c>
      <c r="I73" s="18">
        <f t="shared" si="10"/>
        <v>815</v>
      </c>
      <c r="J73" s="20">
        <f t="shared" si="11"/>
        <v>8.5508136121933143E-2</v>
      </c>
    </row>
    <row r="74" spans="6:10" ht="13.5" thickTop="1" x14ac:dyDescent="0.2">
      <c r="F74" s="12" t="s">
        <v>25</v>
      </c>
      <c r="H74" s="21">
        <f>SUM(H62:H73)</f>
        <v>0.72981930560093122</v>
      </c>
      <c r="J74" s="21">
        <f>SUM(J62:J73)</f>
        <v>0.72990604579031149</v>
      </c>
    </row>
    <row r="75" spans="6:10" x14ac:dyDescent="0.2">
      <c r="F75" s="1" t="s">
        <v>21</v>
      </c>
      <c r="G75" s="64">
        <f>AVERAGE(G20,G38,G56)</f>
        <v>4094</v>
      </c>
      <c r="H75" s="21"/>
      <c r="I75" s="64">
        <f>AVERAGE(I20,I38,I56)</f>
        <v>3271.6666666666665</v>
      </c>
    </row>
    <row r="79" spans="6:10" x14ac:dyDescent="0.2">
      <c r="I79" s="10"/>
    </row>
    <row r="80" spans="6:10" x14ac:dyDescent="0.2">
      <c r="I80" s="10"/>
    </row>
    <row r="81" spans="6:18" x14ac:dyDescent="0.2">
      <c r="I81" s="10"/>
    </row>
    <row r="82" spans="6:18" x14ac:dyDescent="0.2">
      <c r="I82" s="59"/>
    </row>
    <row r="83" spans="6:18" x14ac:dyDescent="0.2">
      <c r="I83" s="59"/>
    </row>
    <row r="84" spans="6:18" x14ac:dyDescent="0.2">
      <c r="I84" s="59"/>
    </row>
    <row r="85" spans="6:18" x14ac:dyDescent="0.2">
      <c r="I85" s="59"/>
    </row>
    <row r="86" spans="6:18" x14ac:dyDescent="0.2">
      <c r="I86" s="59"/>
    </row>
    <row r="87" spans="6:18" x14ac:dyDescent="0.2">
      <c r="I87" s="59"/>
    </row>
    <row r="88" spans="6:18" x14ac:dyDescent="0.2">
      <c r="I88" s="59"/>
    </row>
    <row r="89" spans="6:18" x14ac:dyDescent="0.2">
      <c r="I89" s="59"/>
    </row>
    <row r="90" spans="6:18" x14ac:dyDescent="0.2">
      <c r="I90" s="59"/>
    </row>
    <row r="91" spans="6:18" x14ac:dyDescent="0.2">
      <c r="I91" s="59"/>
    </row>
    <row r="92" spans="6:18" x14ac:dyDescent="0.2">
      <c r="I92" s="59"/>
    </row>
    <row r="93" spans="6:18" x14ac:dyDescent="0.2">
      <c r="I93" s="10"/>
    </row>
    <row r="94" spans="6:18" ht="13.5" thickBot="1" x14ac:dyDescent="0.25">
      <c r="F94" s="45"/>
      <c r="G94" s="10"/>
      <c r="H94" s="10"/>
      <c r="I94" s="10"/>
    </row>
    <row r="95" spans="6:18" ht="14.25" thickTop="1" thickBot="1" x14ac:dyDescent="0.25">
      <c r="F95" s="262" t="s">
        <v>164</v>
      </c>
      <c r="G95" s="262"/>
      <c r="H95" s="262"/>
      <c r="I95" s="262"/>
      <c r="J95" s="262"/>
      <c r="L95" s="259" t="s">
        <v>163</v>
      </c>
      <c r="M95" s="260"/>
      <c r="N95" s="260"/>
      <c r="O95" s="260"/>
      <c r="P95" s="260"/>
      <c r="Q95" s="260"/>
      <c r="R95" s="261"/>
    </row>
    <row r="96" spans="6:18" ht="14.25" thickTop="1" thickBot="1" x14ac:dyDescent="0.25">
      <c r="F96" s="48"/>
      <c r="G96" s="46" t="s">
        <v>89</v>
      </c>
      <c r="H96" s="70"/>
      <c r="I96" s="72" t="s">
        <v>90</v>
      </c>
      <c r="J96" s="47"/>
      <c r="L96" s="101"/>
      <c r="M96" s="255" t="s">
        <v>157</v>
      </c>
      <c r="N96" s="256"/>
      <c r="O96" s="255" t="s">
        <v>158</v>
      </c>
      <c r="P96" s="256"/>
      <c r="Q96" s="257" t="s">
        <v>159</v>
      </c>
      <c r="R96" s="258"/>
    </row>
    <row r="97" spans="6:18" ht="13.5" thickBot="1" x14ac:dyDescent="0.25">
      <c r="F97" s="51" t="s">
        <v>0</v>
      </c>
      <c r="G97" s="54" t="s">
        <v>38</v>
      </c>
      <c r="H97" s="54" t="s">
        <v>39</v>
      </c>
      <c r="I97" s="73" t="s">
        <v>38</v>
      </c>
      <c r="J97" s="55" t="s">
        <v>39</v>
      </c>
      <c r="L97" s="106" t="s">
        <v>0</v>
      </c>
      <c r="M97" s="107" t="s">
        <v>38</v>
      </c>
      <c r="N97" s="108" t="s">
        <v>39</v>
      </c>
      <c r="O97" s="107" t="s">
        <v>38</v>
      </c>
      <c r="P97" s="108" t="s">
        <v>39</v>
      </c>
      <c r="Q97" s="109" t="s">
        <v>38</v>
      </c>
      <c r="R97" s="110" t="s">
        <v>39</v>
      </c>
    </row>
    <row r="98" spans="6:18" x14ac:dyDescent="0.2">
      <c r="F98" s="49" t="s">
        <v>26</v>
      </c>
      <c r="G98" s="57">
        <v>0</v>
      </c>
      <c r="H98" s="57">
        <v>0</v>
      </c>
      <c r="I98" s="74">
        <v>0</v>
      </c>
      <c r="J98" s="58">
        <v>0</v>
      </c>
      <c r="L98" s="6" t="s">
        <v>26</v>
      </c>
      <c r="M98" s="74">
        <v>8.0000000000000002E-3</v>
      </c>
      <c r="N98" s="104">
        <v>3.0000000000000001E-3</v>
      </c>
      <c r="O98" s="74">
        <v>2E-3</v>
      </c>
      <c r="P98" s="104">
        <v>2E-3</v>
      </c>
      <c r="Q98" s="57">
        <v>2E-3</v>
      </c>
      <c r="R98" s="58">
        <v>1E-3</v>
      </c>
    </row>
    <row r="99" spans="6:18" x14ac:dyDescent="0.2">
      <c r="F99" s="49" t="s">
        <v>27</v>
      </c>
      <c r="G99" s="57">
        <v>0</v>
      </c>
      <c r="H99" s="57">
        <v>0</v>
      </c>
      <c r="I99" s="74">
        <v>0</v>
      </c>
      <c r="J99" s="58">
        <v>0</v>
      </c>
      <c r="L99" s="6" t="s">
        <v>27</v>
      </c>
      <c r="M99" s="74">
        <v>0.02</v>
      </c>
      <c r="N99" s="104">
        <v>8.9999999999999993E-3</v>
      </c>
      <c r="O99" s="74">
        <v>8.9999999999999993E-3</v>
      </c>
      <c r="P99" s="104">
        <v>4.0000000000000001E-3</v>
      </c>
      <c r="Q99" s="57">
        <v>4.0000000000000001E-3</v>
      </c>
      <c r="R99" s="58">
        <v>3.0000000000000001E-3</v>
      </c>
    </row>
    <row r="100" spans="6:18" x14ac:dyDescent="0.2">
      <c r="F100" s="49" t="s">
        <v>28</v>
      </c>
      <c r="G100" s="23">
        <v>0</v>
      </c>
      <c r="H100" s="57">
        <v>0</v>
      </c>
      <c r="I100" s="75">
        <v>0</v>
      </c>
      <c r="J100" s="58">
        <v>0</v>
      </c>
      <c r="L100" s="6" t="s">
        <v>28</v>
      </c>
      <c r="M100" s="75">
        <v>3.1E-2</v>
      </c>
      <c r="N100" s="104">
        <v>1.2E-2</v>
      </c>
      <c r="O100" s="75">
        <v>2.7E-2</v>
      </c>
      <c r="P100" s="104">
        <v>0.01</v>
      </c>
      <c r="Q100" s="23">
        <v>8.9999999999999993E-3</v>
      </c>
      <c r="R100" s="58">
        <v>5.0000000000000001E-3</v>
      </c>
    </row>
    <row r="101" spans="6:18" x14ac:dyDescent="0.2">
      <c r="F101" s="49" t="s">
        <v>29</v>
      </c>
      <c r="G101" s="23">
        <v>0</v>
      </c>
      <c r="H101" s="57">
        <v>0</v>
      </c>
      <c r="I101" s="75">
        <v>0</v>
      </c>
      <c r="J101" s="58">
        <v>0</v>
      </c>
      <c r="L101" s="6" t="s">
        <v>29</v>
      </c>
      <c r="M101" s="75">
        <v>5.5E-2</v>
      </c>
      <c r="N101" s="104">
        <v>0.02</v>
      </c>
      <c r="O101" s="75">
        <v>5.5E-2</v>
      </c>
      <c r="P101" s="104">
        <v>2.1999999999999999E-2</v>
      </c>
      <c r="Q101" s="23">
        <v>1.7000000000000001E-2</v>
      </c>
      <c r="R101" s="58">
        <v>1.0999999999999999E-2</v>
      </c>
    </row>
    <row r="102" spans="6:18" x14ac:dyDescent="0.2">
      <c r="F102" s="49" t="s">
        <v>30</v>
      </c>
      <c r="G102" s="23">
        <v>7.5999999999999998E-2</v>
      </c>
      <c r="H102" s="57">
        <v>6.5000000000000002E-2</v>
      </c>
      <c r="I102" s="75">
        <v>7.4999999999999997E-2</v>
      </c>
      <c r="J102" s="58">
        <v>3.6999999999999998E-2</v>
      </c>
      <c r="L102" s="6" t="s">
        <v>30</v>
      </c>
      <c r="M102" s="75">
        <v>7.0000000000000007E-2</v>
      </c>
      <c r="N102" s="104">
        <v>4.2999999999999997E-2</v>
      </c>
      <c r="O102" s="75">
        <v>8.5999999999999993E-2</v>
      </c>
      <c r="P102" s="104">
        <v>4.8000000000000001E-2</v>
      </c>
      <c r="Q102" s="23">
        <v>3.7999999999999999E-2</v>
      </c>
      <c r="R102" s="58">
        <v>2.5000000000000001E-2</v>
      </c>
    </row>
    <row r="103" spans="6:18" x14ac:dyDescent="0.2">
      <c r="F103" s="49" t="s">
        <v>37</v>
      </c>
      <c r="G103" s="23">
        <v>7.5999999999999998E-2</v>
      </c>
      <c r="H103" s="57">
        <v>8.4000000000000005E-2</v>
      </c>
      <c r="I103" s="75">
        <v>8.5999999999999993E-2</v>
      </c>
      <c r="J103" s="58">
        <v>5.8999999999999997E-2</v>
      </c>
      <c r="L103" s="6" t="s">
        <v>37</v>
      </c>
      <c r="M103" s="75">
        <v>8.4000000000000005E-2</v>
      </c>
      <c r="N103" s="104">
        <v>6.2E-2</v>
      </c>
      <c r="O103" s="75">
        <v>0.108</v>
      </c>
      <c r="P103" s="104">
        <v>7.4999999999999997E-2</v>
      </c>
      <c r="Q103" s="23">
        <v>0.1</v>
      </c>
      <c r="R103" s="58">
        <v>4.5999999999999999E-2</v>
      </c>
    </row>
    <row r="104" spans="6:18" x14ac:dyDescent="0.2">
      <c r="F104" s="49" t="s">
        <v>31</v>
      </c>
      <c r="G104" s="23">
        <v>7.5999999999999998E-2</v>
      </c>
      <c r="H104" s="57">
        <v>8.2000000000000003E-2</v>
      </c>
      <c r="I104" s="75">
        <v>9.5000000000000001E-2</v>
      </c>
      <c r="J104" s="58">
        <v>7.9000000000000001E-2</v>
      </c>
      <c r="L104" s="6" t="s">
        <v>31</v>
      </c>
      <c r="M104" s="75">
        <v>9.4E-2</v>
      </c>
      <c r="N104" s="104">
        <v>8.3000000000000004E-2</v>
      </c>
      <c r="O104" s="75">
        <v>0.11799999999999999</v>
      </c>
      <c r="P104" s="104">
        <v>9.2999999999999999E-2</v>
      </c>
      <c r="Q104" s="23">
        <v>0.151</v>
      </c>
      <c r="R104" s="58">
        <v>7.9000000000000001E-2</v>
      </c>
    </row>
    <row r="105" spans="6:18" x14ac:dyDescent="0.2">
      <c r="F105" s="49" t="s">
        <v>32</v>
      </c>
      <c r="G105" s="23">
        <v>6.9000000000000006E-2</v>
      </c>
      <c r="H105" s="57">
        <v>7.4999999999999997E-2</v>
      </c>
      <c r="I105" s="75">
        <v>8.6999999999999994E-2</v>
      </c>
      <c r="J105" s="58">
        <v>8.2000000000000003E-2</v>
      </c>
      <c r="L105" s="6" t="s">
        <v>32</v>
      </c>
      <c r="M105" s="75">
        <v>8.2000000000000003E-2</v>
      </c>
      <c r="N105" s="104">
        <v>8.5999999999999993E-2</v>
      </c>
      <c r="O105" s="75">
        <v>0.121</v>
      </c>
      <c r="P105" s="104">
        <v>0.10299999999999999</v>
      </c>
      <c r="Q105" s="23">
        <v>0.16700000000000001</v>
      </c>
      <c r="R105" s="58">
        <v>0.12</v>
      </c>
    </row>
    <row r="106" spans="6:18" x14ac:dyDescent="0.2">
      <c r="F106" s="49" t="s">
        <v>33</v>
      </c>
      <c r="G106" s="23">
        <v>0.09</v>
      </c>
      <c r="H106" s="57">
        <v>7.8E-2</v>
      </c>
      <c r="I106" s="75">
        <v>7.9000000000000001E-2</v>
      </c>
      <c r="J106" s="58">
        <v>8.7999999999999995E-2</v>
      </c>
      <c r="L106" s="6" t="s">
        <v>33</v>
      </c>
      <c r="M106" s="75">
        <v>7.6999999999999999E-2</v>
      </c>
      <c r="N106" s="104">
        <v>8.8999999999999996E-2</v>
      </c>
      <c r="O106" s="75">
        <v>0.11799999999999999</v>
      </c>
      <c r="P106" s="104">
        <v>0.11799999999999999</v>
      </c>
      <c r="Q106" s="23">
        <v>0.158</v>
      </c>
      <c r="R106" s="58">
        <v>0.14699999999999999</v>
      </c>
    </row>
    <row r="107" spans="6:18" x14ac:dyDescent="0.2">
      <c r="F107" s="49" t="s">
        <v>34</v>
      </c>
      <c r="G107" s="23">
        <v>9.6000000000000002E-2</v>
      </c>
      <c r="H107" s="57">
        <v>9.5000000000000001E-2</v>
      </c>
      <c r="I107" s="75">
        <v>7.6999999999999999E-2</v>
      </c>
      <c r="J107" s="58">
        <v>8.8999999999999996E-2</v>
      </c>
      <c r="L107" s="6" t="s">
        <v>34</v>
      </c>
      <c r="M107" s="75">
        <v>7.8E-2</v>
      </c>
      <c r="N107" s="104">
        <v>8.7999999999999995E-2</v>
      </c>
      <c r="O107" s="75">
        <v>0.107</v>
      </c>
      <c r="P107" s="104">
        <v>0.125</v>
      </c>
      <c r="Q107" s="23">
        <v>0.13</v>
      </c>
      <c r="R107" s="58">
        <v>0.156</v>
      </c>
    </row>
    <row r="108" spans="6:18" x14ac:dyDescent="0.2">
      <c r="F108" s="49" t="s">
        <v>35</v>
      </c>
      <c r="G108" s="23">
        <v>9.7000000000000003E-2</v>
      </c>
      <c r="H108" s="57">
        <v>0.104</v>
      </c>
      <c r="I108" s="75">
        <v>8.2000000000000003E-2</v>
      </c>
      <c r="J108" s="58">
        <v>9.0999999999999998E-2</v>
      </c>
      <c r="L108" s="6" t="s">
        <v>35</v>
      </c>
      <c r="M108" s="75">
        <v>0.08</v>
      </c>
      <c r="N108" s="104">
        <v>8.8999999999999996E-2</v>
      </c>
      <c r="O108" s="75">
        <v>8.7999999999999995E-2</v>
      </c>
      <c r="P108" s="104">
        <v>0.125</v>
      </c>
      <c r="Q108" s="23">
        <v>9.4E-2</v>
      </c>
      <c r="R108" s="58">
        <v>0.158</v>
      </c>
    </row>
    <row r="109" spans="6:18" ht="13.5" thickBot="1" x14ac:dyDescent="0.25">
      <c r="F109" s="52" t="s">
        <v>36</v>
      </c>
      <c r="G109" s="53">
        <v>0.10299999999999999</v>
      </c>
      <c r="H109" s="71">
        <v>0.11</v>
      </c>
      <c r="I109" s="76">
        <v>8.3000000000000004E-2</v>
      </c>
      <c r="J109" s="60">
        <v>9.5000000000000001E-2</v>
      </c>
      <c r="L109" s="6" t="s">
        <v>36</v>
      </c>
      <c r="M109" s="75">
        <v>8.4000000000000005E-2</v>
      </c>
      <c r="N109" s="104">
        <v>9.1999999999999998E-2</v>
      </c>
      <c r="O109" s="75">
        <v>5.2999999999999999E-2</v>
      </c>
      <c r="P109" s="104">
        <v>0.113</v>
      </c>
      <c r="Q109" s="23">
        <v>5.0999999999999997E-2</v>
      </c>
      <c r="R109" s="58">
        <v>0.13</v>
      </c>
    </row>
    <row r="110" spans="6:18" ht="13.5" thickBot="1" x14ac:dyDescent="0.25">
      <c r="F110" s="50"/>
      <c r="G110" s="61">
        <f>SUM(G98:G109)</f>
        <v>0.68299999999999994</v>
      </c>
      <c r="H110" s="61">
        <f>SUM(H98:H109)</f>
        <v>0.69300000000000006</v>
      </c>
      <c r="I110" s="77">
        <f>SUM(I98:I109)</f>
        <v>0.66399999999999992</v>
      </c>
      <c r="J110" s="62">
        <f>SUM(J98:J109)</f>
        <v>0.61999999999999988</v>
      </c>
      <c r="L110" s="100" t="s">
        <v>141</v>
      </c>
      <c r="M110" s="75">
        <v>0.08</v>
      </c>
      <c r="N110" s="104">
        <v>7.4999999999999997E-2</v>
      </c>
      <c r="O110" s="75">
        <v>3.3000000000000002E-2</v>
      </c>
      <c r="P110" s="104">
        <v>6.7000000000000004E-2</v>
      </c>
      <c r="Q110" s="23">
        <v>2.3E-2</v>
      </c>
      <c r="R110" s="58">
        <v>4.5999999999999999E-2</v>
      </c>
    </row>
    <row r="111" spans="6:18" ht="13.5" thickTop="1" x14ac:dyDescent="0.2">
      <c r="L111" s="100" t="s">
        <v>142</v>
      </c>
      <c r="M111" s="75">
        <v>7.9000000000000001E-2</v>
      </c>
      <c r="N111" s="104">
        <v>7.1999999999999995E-2</v>
      </c>
      <c r="O111" s="75">
        <v>2.7E-2</v>
      </c>
      <c r="P111" s="104">
        <v>2.9000000000000001E-2</v>
      </c>
      <c r="Q111" s="23">
        <v>1.7000000000000001E-2</v>
      </c>
      <c r="R111" s="58">
        <v>1.9E-2</v>
      </c>
    </row>
    <row r="112" spans="6:18" x14ac:dyDescent="0.2">
      <c r="L112" s="100" t="s">
        <v>160</v>
      </c>
      <c r="M112" s="75">
        <v>4.2999999999999997E-2</v>
      </c>
      <c r="N112" s="104">
        <v>7.6999999999999999E-2</v>
      </c>
      <c r="O112" s="75">
        <v>1.7999999999999999E-2</v>
      </c>
      <c r="P112" s="104">
        <v>2.1999999999999999E-2</v>
      </c>
      <c r="Q112" s="23">
        <v>1.0999999999999999E-2</v>
      </c>
      <c r="R112" s="58">
        <v>1.2999999999999999E-2</v>
      </c>
    </row>
    <row r="113" spans="12:18" x14ac:dyDescent="0.2">
      <c r="L113" s="100" t="s">
        <v>161</v>
      </c>
      <c r="M113" s="75">
        <v>1.7999999999999999E-2</v>
      </c>
      <c r="N113" s="104">
        <v>7.1999999999999995E-2</v>
      </c>
      <c r="O113" s="75">
        <v>0.01</v>
      </c>
      <c r="P113" s="104">
        <v>1.6E-2</v>
      </c>
      <c r="Q113" s="23">
        <v>7.0000000000000001E-3</v>
      </c>
      <c r="R113" s="58">
        <v>1.0999999999999999E-2</v>
      </c>
    </row>
    <row r="114" spans="12:18" ht="13.5" thickBot="1" x14ac:dyDescent="0.25">
      <c r="L114" s="103" t="s">
        <v>162</v>
      </c>
      <c r="M114" s="76">
        <v>1.7000000000000001E-2</v>
      </c>
      <c r="N114" s="105">
        <v>2.8000000000000001E-2</v>
      </c>
      <c r="O114" s="76">
        <v>0.02</v>
      </c>
      <c r="P114" s="105">
        <v>2.8000000000000001E-2</v>
      </c>
      <c r="Q114" s="53">
        <v>2.1000000000000001E-2</v>
      </c>
      <c r="R114" s="60">
        <v>0.03</v>
      </c>
    </row>
    <row r="115" spans="12:18" ht="13.5" thickBot="1" x14ac:dyDescent="0.25">
      <c r="L115" s="102"/>
      <c r="M115" s="61">
        <f t="shared" ref="M115:R115" si="12">SUM(M98:M114)</f>
        <v>0.99999999999999989</v>
      </c>
      <c r="N115" s="61">
        <f t="shared" si="12"/>
        <v>0.99999999999999967</v>
      </c>
      <c r="O115" s="61">
        <f t="shared" si="12"/>
        <v>1</v>
      </c>
      <c r="P115" s="61">
        <f t="shared" si="12"/>
        <v>1</v>
      </c>
      <c r="Q115" s="61">
        <f t="shared" si="12"/>
        <v>1</v>
      </c>
      <c r="R115" s="62">
        <f t="shared" si="12"/>
        <v>1</v>
      </c>
    </row>
    <row r="116" spans="12:18" ht="13.5" thickTop="1" x14ac:dyDescent="0.2">
      <c r="L116" s="99" t="s">
        <v>156</v>
      </c>
      <c r="M116" s="87"/>
      <c r="N116" s="87"/>
      <c r="O116" s="87"/>
      <c r="P116" s="87"/>
      <c r="Q116" s="87"/>
      <c r="R116" s="87"/>
    </row>
  </sheetData>
  <mergeCells count="12">
    <mergeCell ref="B5:B6"/>
    <mergeCell ref="C5:D5"/>
    <mergeCell ref="B2:Z3"/>
    <mergeCell ref="M96:N96"/>
    <mergeCell ref="O96:P96"/>
    <mergeCell ref="Q96:R96"/>
    <mergeCell ref="L95:R95"/>
    <mergeCell ref="G5:J5"/>
    <mergeCell ref="G23:J23"/>
    <mergeCell ref="G41:J41"/>
    <mergeCell ref="G60:J60"/>
    <mergeCell ref="F95:J9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1AB4-542F-42AE-9AEC-82CF5A93C24C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264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1.2200000000000001E-2</v>
      </c>
      <c r="D7" s="163">
        <v>2.2000000000000001E-3</v>
      </c>
      <c r="E7" s="175"/>
      <c r="F7" s="175"/>
      <c r="G7" s="175"/>
      <c r="H7" s="175"/>
    </row>
    <row r="8" spans="2:26" x14ac:dyDescent="0.2">
      <c r="B8" s="117" t="s">
        <v>27</v>
      </c>
      <c r="C8" s="149">
        <v>8.9800000000000005E-2</v>
      </c>
      <c r="D8" s="166">
        <v>2.3300000000000001E-2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0.113</v>
      </c>
      <c r="D9" s="166">
        <v>5.2500000000000005E-2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8.0800000000000011E-2</v>
      </c>
      <c r="D10" s="166">
        <v>6.93E-2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9.240000000000001E-2</v>
      </c>
      <c r="D11" s="166">
        <v>7.1000000000000008E-2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8.610000000000001E-2</v>
      </c>
      <c r="D12" s="166">
        <v>9.0500000000000011E-2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8.5100000000000009E-2</v>
      </c>
      <c r="D13" s="166">
        <v>0.10400000000000001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9.5100000000000004E-2</v>
      </c>
      <c r="D14" s="166">
        <v>9.4300000000000009E-2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9.0900000000000009E-2</v>
      </c>
      <c r="D15" s="166">
        <v>0.11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6.8699999999999997E-2</v>
      </c>
      <c r="D16" s="166">
        <v>9.8000000000000004E-2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7.3400000000000007E-2</v>
      </c>
      <c r="D17" s="166">
        <v>7.4800000000000005E-2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6.3899999999999998E-2</v>
      </c>
      <c r="D18" s="166">
        <v>0.10020000000000001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3.0600000000000002E-2</v>
      </c>
      <c r="D19" s="166">
        <v>6.9900000000000004E-2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1.8000000000000002E-2</v>
      </c>
      <c r="D20" s="166">
        <v>4.0100000000000004E-2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0</v>
      </c>
      <c r="D21" s="166">
        <v>0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0</v>
      </c>
      <c r="D22" s="166">
        <v>0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</v>
      </c>
      <c r="D23" s="168">
        <v>0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</v>
      </c>
      <c r="D24" s="161">
        <f t="shared" ref="D24" si="0">SUM(D7:D23)</f>
        <v>1.0001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244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127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3.6999999999999998E-2</v>
      </c>
      <c r="D7" s="116">
        <v>8.0000000000000002E-3</v>
      </c>
      <c r="F7" s="8" t="s">
        <v>12</v>
      </c>
      <c r="G7" s="13">
        <f>13+11+0</f>
        <v>24</v>
      </c>
      <c r="H7" s="14">
        <f t="shared" ref="H7:H18" si="0">G7/$G$20</f>
        <v>3.7037037037037035E-2</v>
      </c>
      <c r="I7" s="13">
        <v>4</v>
      </c>
      <c r="J7" s="15">
        <f t="shared" ref="J7:J18" si="1">I7/$I$20</f>
        <v>7.6335877862595417E-3</v>
      </c>
      <c r="L7" s="11">
        <f t="shared" ref="L7:L18" si="2">+G7+I7</f>
        <v>28</v>
      </c>
      <c r="M7" s="56">
        <f t="shared" ref="M7:M18" si="3">+L7/($G$20+$I$20)</f>
        <v>2.3890784982935155E-2</v>
      </c>
    </row>
    <row r="8" spans="2:26" x14ac:dyDescent="0.2">
      <c r="B8" s="117" t="s">
        <v>27</v>
      </c>
      <c r="C8" s="118">
        <v>5.6000000000000001E-2</v>
      </c>
      <c r="D8" s="119">
        <v>4.0000000000000001E-3</v>
      </c>
      <c r="F8" s="6" t="s">
        <v>1</v>
      </c>
      <c r="G8" s="9">
        <f>22+13+1</f>
        <v>36</v>
      </c>
      <c r="H8" s="16">
        <f t="shared" si="0"/>
        <v>5.5555555555555552E-2</v>
      </c>
      <c r="I8" s="9">
        <v>2</v>
      </c>
      <c r="J8" s="17">
        <f t="shared" si="1"/>
        <v>3.8167938931297708E-3</v>
      </c>
      <c r="L8" s="11">
        <f t="shared" si="2"/>
        <v>38</v>
      </c>
      <c r="M8" s="56">
        <f t="shared" si="3"/>
        <v>3.2423208191126277E-2</v>
      </c>
    </row>
    <row r="9" spans="2:26" x14ac:dyDescent="0.2">
      <c r="B9" s="117" t="s">
        <v>28</v>
      </c>
      <c r="C9" s="120">
        <v>6.5000000000000002E-2</v>
      </c>
      <c r="D9" s="119">
        <v>5.1999999999999998E-2</v>
      </c>
      <c r="F9" s="6" t="s">
        <v>2</v>
      </c>
      <c r="G9" s="9">
        <f>22+20+0</f>
        <v>42</v>
      </c>
      <c r="H9" s="16">
        <f t="shared" si="0"/>
        <v>6.4814814814814811E-2</v>
      </c>
      <c r="I9" s="9">
        <v>27</v>
      </c>
      <c r="J9" s="17">
        <f t="shared" si="1"/>
        <v>5.1526717557251911E-2</v>
      </c>
      <c r="L9" s="11">
        <f t="shared" si="2"/>
        <v>69</v>
      </c>
      <c r="M9" s="56">
        <f t="shared" si="3"/>
        <v>5.8873720136518773E-2</v>
      </c>
    </row>
    <row r="10" spans="2:26" x14ac:dyDescent="0.2">
      <c r="B10" s="117" t="s">
        <v>29</v>
      </c>
      <c r="C10" s="120">
        <v>6.8000000000000005E-2</v>
      </c>
      <c r="D10" s="119">
        <v>6.9000000000000006E-2</v>
      </c>
      <c r="F10" s="6" t="s">
        <v>3</v>
      </c>
      <c r="G10" s="9">
        <f>23+21+0</f>
        <v>44</v>
      </c>
      <c r="H10" s="16">
        <f t="shared" si="0"/>
        <v>6.7901234567901231E-2</v>
      </c>
      <c r="I10" s="9">
        <v>36</v>
      </c>
      <c r="J10" s="17">
        <f t="shared" si="1"/>
        <v>6.8702290076335881E-2</v>
      </c>
      <c r="L10" s="11">
        <f t="shared" si="2"/>
        <v>80</v>
      </c>
      <c r="M10" s="56">
        <f t="shared" si="3"/>
        <v>6.8259385665529013E-2</v>
      </c>
    </row>
    <row r="11" spans="2:26" x14ac:dyDescent="0.2">
      <c r="B11" s="117" t="s">
        <v>30</v>
      </c>
      <c r="C11" s="120">
        <v>6.6000000000000003E-2</v>
      </c>
      <c r="D11" s="119">
        <v>7.2999999999999995E-2</v>
      </c>
      <c r="F11" s="6" t="s">
        <v>4</v>
      </c>
      <c r="G11" s="9">
        <f>30+13+0</f>
        <v>43</v>
      </c>
      <c r="H11" s="16">
        <f t="shared" si="0"/>
        <v>6.6358024691358028E-2</v>
      </c>
      <c r="I11" s="9">
        <v>38</v>
      </c>
      <c r="J11" s="17">
        <f t="shared" si="1"/>
        <v>7.2519083969465645E-2</v>
      </c>
      <c r="L11" s="11">
        <f t="shared" si="2"/>
        <v>81</v>
      </c>
      <c r="M11" s="56">
        <f t="shared" si="3"/>
        <v>6.9112627986348124E-2</v>
      </c>
    </row>
    <row r="12" spans="2:26" x14ac:dyDescent="0.2">
      <c r="B12" s="117" t="s">
        <v>37</v>
      </c>
      <c r="C12" s="120">
        <v>6.3E-2</v>
      </c>
      <c r="D12" s="119">
        <v>6.9000000000000006E-2</v>
      </c>
      <c r="F12" s="6" t="s">
        <v>5</v>
      </c>
      <c r="G12" s="9">
        <f>27+14+0</f>
        <v>41</v>
      </c>
      <c r="H12" s="16">
        <f t="shared" si="0"/>
        <v>6.3271604938271608E-2</v>
      </c>
      <c r="I12" s="9">
        <v>36</v>
      </c>
      <c r="J12" s="17">
        <f t="shared" si="1"/>
        <v>6.8702290076335881E-2</v>
      </c>
      <c r="L12" s="11">
        <f t="shared" si="2"/>
        <v>77</v>
      </c>
      <c r="M12" s="56">
        <f t="shared" si="3"/>
        <v>6.5699658703071678E-2</v>
      </c>
    </row>
    <row r="13" spans="2:26" x14ac:dyDescent="0.2">
      <c r="B13" s="117" t="s">
        <v>31</v>
      </c>
      <c r="C13" s="120">
        <v>8.3000000000000004E-2</v>
      </c>
      <c r="D13" s="119">
        <v>8.2000000000000003E-2</v>
      </c>
      <c r="F13" s="6" t="s">
        <v>6</v>
      </c>
      <c r="G13" s="9">
        <f>41+12+1</f>
        <v>54</v>
      </c>
      <c r="H13" s="16">
        <f t="shared" si="0"/>
        <v>8.3333333333333329E-2</v>
      </c>
      <c r="I13" s="9">
        <v>43</v>
      </c>
      <c r="J13" s="17">
        <f t="shared" si="1"/>
        <v>8.2061068702290074E-2</v>
      </c>
      <c r="L13" s="11">
        <f t="shared" si="2"/>
        <v>97</v>
      </c>
      <c r="M13" s="56">
        <f t="shared" si="3"/>
        <v>8.2764505119453921E-2</v>
      </c>
    </row>
    <row r="14" spans="2:26" x14ac:dyDescent="0.2">
      <c r="B14" s="117" t="s">
        <v>32</v>
      </c>
      <c r="C14" s="120">
        <v>7.3999999999999996E-2</v>
      </c>
      <c r="D14" s="119">
        <v>0.05</v>
      </c>
      <c r="F14" s="6" t="s">
        <v>7</v>
      </c>
      <c r="G14" s="9">
        <f>30+18+0</f>
        <v>48</v>
      </c>
      <c r="H14" s="16">
        <f t="shared" si="0"/>
        <v>7.407407407407407E-2</v>
      </c>
      <c r="I14" s="9">
        <v>26</v>
      </c>
      <c r="J14" s="17">
        <f t="shared" si="1"/>
        <v>4.9618320610687022E-2</v>
      </c>
      <c r="L14" s="11">
        <f t="shared" si="2"/>
        <v>74</v>
      </c>
      <c r="M14" s="56">
        <f t="shared" si="3"/>
        <v>6.313993174061433E-2</v>
      </c>
    </row>
    <row r="15" spans="2:26" x14ac:dyDescent="0.2">
      <c r="B15" s="117" t="s">
        <v>33</v>
      </c>
      <c r="C15" s="120">
        <v>6.9000000000000006E-2</v>
      </c>
      <c r="D15" s="119">
        <v>7.2999999999999995E-2</v>
      </c>
      <c r="F15" s="6" t="s">
        <v>8</v>
      </c>
      <c r="G15" s="9">
        <f>33+10+2</f>
        <v>45</v>
      </c>
      <c r="H15" s="16">
        <f t="shared" si="0"/>
        <v>6.9444444444444448E-2</v>
      </c>
      <c r="I15" s="9">
        <v>38</v>
      </c>
      <c r="J15" s="17">
        <f t="shared" si="1"/>
        <v>7.2519083969465645E-2</v>
      </c>
      <c r="L15" s="11">
        <f t="shared" si="2"/>
        <v>83</v>
      </c>
      <c r="M15" s="56">
        <f t="shared" si="3"/>
        <v>7.0819112627986347E-2</v>
      </c>
    </row>
    <row r="16" spans="2:26" x14ac:dyDescent="0.2">
      <c r="B16" s="117" t="s">
        <v>34</v>
      </c>
      <c r="C16" s="120">
        <v>7.3999999999999996E-2</v>
      </c>
      <c r="D16" s="119">
        <v>0.10299999999999999</v>
      </c>
      <c r="F16" s="6" t="s">
        <v>9</v>
      </c>
      <c r="G16" s="9">
        <f>29+18+1</f>
        <v>48</v>
      </c>
      <c r="H16" s="16">
        <f t="shared" si="0"/>
        <v>7.407407407407407E-2</v>
      </c>
      <c r="I16" s="9">
        <v>54</v>
      </c>
      <c r="J16" s="17">
        <f t="shared" si="1"/>
        <v>0.10305343511450382</v>
      </c>
      <c r="L16" s="11">
        <f t="shared" si="2"/>
        <v>102</v>
      </c>
      <c r="M16" s="56">
        <f t="shared" si="3"/>
        <v>8.7030716723549492E-2</v>
      </c>
    </row>
    <row r="17" spans="2:13" x14ac:dyDescent="0.2">
      <c r="B17" s="117" t="s">
        <v>35</v>
      </c>
      <c r="C17" s="120">
        <v>8.3000000000000004E-2</v>
      </c>
      <c r="D17" s="119">
        <v>8.4000000000000005E-2</v>
      </c>
      <c r="F17" s="6" t="s">
        <v>10</v>
      </c>
      <c r="G17" s="9">
        <f>31+23+0</f>
        <v>54</v>
      </c>
      <c r="H17" s="16">
        <f t="shared" si="0"/>
        <v>8.3333333333333329E-2</v>
      </c>
      <c r="I17" s="9">
        <v>44</v>
      </c>
      <c r="J17" s="17">
        <f t="shared" si="1"/>
        <v>8.3969465648854963E-2</v>
      </c>
      <c r="L17" s="11">
        <f t="shared" si="2"/>
        <v>98</v>
      </c>
      <c r="M17" s="56">
        <f t="shared" si="3"/>
        <v>8.3617747440273033E-2</v>
      </c>
    </row>
    <row r="18" spans="2:13" ht="13.5" thickBot="1" x14ac:dyDescent="0.25">
      <c r="B18" s="121" t="s">
        <v>36</v>
      </c>
      <c r="C18" s="122">
        <v>3.4000000000000002E-2</v>
      </c>
      <c r="D18" s="123">
        <v>0.109</v>
      </c>
      <c r="F18" s="7" t="s">
        <v>11</v>
      </c>
      <c r="G18" s="18">
        <f>16+4+2</f>
        <v>22</v>
      </c>
      <c r="H18" s="19">
        <f t="shared" si="0"/>
        <v>3.3950617283950615E-2</v>
      </c>
      <c r="I18" s="18">
        <v>57</v>
      </c>
      <c r="J18" s="20">
        <f t="shared" si="1"/>
        <v>0.10877862595419847</v>
      </c>
      <c r="L18" s="11">
        <f t="shared" si="2"/>
        <v>79</v>
      </c>
      <c r="M18" s="56">
        <f t="shared" si="3"/>
        <v>6.7406143344709901E-2</v>
      </c>
    </row>
    <row r="19" spans="2:13" ht="14.25" thickTop="1" thickBot="1" x14ac:dyDescent="0.25">
      <c r="B19" s="124"/>
      <c r="C19" s="125">
        <f>SUM(C7:C18)</f>
        <v>0.77199999999999991</v>
      </c>
      <c r="D19" s="126">
        <f>SUM(D7:D18)</f>
        <v>0.77600000000000002</v>
      </c>
      <c r="F19" s="1" t="s">
        <v>129</v>
      </c>
      <c r="H19" s="21">
        <f>SUM(H7:H18)</f>
        <v>0.77314814814814814</v>
      </c>
      <c r="J19" s="21">
        <f>SUM(J7:J18)</f>
        <v>0.77290076335877878</v>
      </c>
    </row>
    <row r="20" spans="2:13" ht="13.5" thickTop="1" x14ac:dyDescent="0.2">
      <c r="F20" s="1" t="s">
        <v>21</v>
      </c>
      <c r="G20" s="11">
        <f>410+229+9</f>
        <v>648</v>
      </c>
      <c r="H20" s="21"/>
      <c r="I20" s="11">
        <f>383+12+129</f>
        <v>524</v>
      </c>
      <c r="J20" s="21"/>
    </row>
    <row r="21" spans="2:13" x14ac:dyDescent="0.2">
      <c r="F21" s="1" t="s">
        <v>128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24</v>
      </c>
      <c r="H62" s="14">
        <f>AVERAGE(H7)</f>
        <v>3.7037037037037035E-2</v>
      </c>
      <c r="I62" s="13">
        <f t="shared" ref="I62:I73" si="9">+I7+I25+I43</f>
        <v>4</v>
      </c>
      <c r="J62" s="15">
        <f>+AVERAGE(J7)</f>
        <v>7.6335877862595417E-3</v>
      </c>
    </row>
    <row r="63" spans="6:10" x14ac:dyDescent="0.2">
      <c r="F63" s="6" t="s">
        <v>27</v>
      </c>
      <c r="G63" s="9">
        <f t="shared" si="8"/>
        <v>36</v>
      </c>
      <c r="H63" s="16">
        <f>AVERAGE(H8)</f>
        <v>5.5555555555555552E-2</v>
      </c>
      <c r="I63" s="9">
        <f t="shared" si="9"/>
        <v>2</v>
      </c>
      <c r="J63" s="17">
        <f>+AVERAGE(J8)</f>
        <v>3.8167938931297708E-3</v>
      </c>
    </row>
    <row r="64" spans="6:10" x14ac:dyDescent="0.2">
      <c r="F64" s="6" t="s">
        <v>28</v>
      </c>
      <c r="G64" s="9">
        <f t="shared" si="8"/>
        <v>42</v>
      </c>
      <c r="H64" s="16">
        <f t="shared" ref="H64:H72" si="10">AVERAGE(H9)</f>
        <v>6.4814814814814811E-2</v>
      </c>
      <c r="I64" s="9">
        <f t="shared" si="9"/>
        <v>27</v>
      </c>
      <c r="J64" s="17">
        <f t="shared" ref="J64:J72" si="11">+AVERAGE(J9)</f>
        <v>5.1526717557251911E-2</v>
      </c>
    </row>
    <row r="65" spans="6:10" x14ac:dyDescent="0.2">
      <c r="F65" s="6" t="s">
        <v>29</v>
      </c>
      <c r="G65" s="9">
        <f t="shared" si="8"/>
        <v>44</v>
      </c>
      <c r="H65" s="16">
        <f t="shared" si="10"/>
        <v>6.7901234567901231E-2</v>
      </c>
      <c r="I65" s="9">
        <f t="shared" si="9"/>
        <v>36</v>
      </c>
      <c r="J65" s="17">
        <f t="shared" si="11"/>
        <v>6.8702290076335881E-2</v>
      </c>
    </row>
    <row r="66" spans="6:10" x14ac:dyDescent="0.2">
      <c r="F66" s="6" t="s">
        <v>30</v>
      </c>
      <c r="G66" s="9">
        <f t="shared" si="8"/>
        <v>43</v>
      </c>
      <c r="H66" s="16">
        <f t="shared" si="10"/>
        <v>6.6358024691358028E-2</v>
      </c>
      <c r="I66" s="9">
        <f t="shared" si="9"/>
        <v>38</v>
      </c>
      <c r="J66" s="17">
        <f t="shared" si="11"/>
        <v>7.2519083969465645E-2</v>
      </c>
    </row>
    <row r="67" spans="6:10" x14ac:dyDescent="0.2">
      <c r="F67" s="6" t="s">
        <v>37</v>
      </c>
      <c r="G67" s="9">
        <f t="shared" si="8"/>
        <v>41</v>
      </c>
      <c r="H67" s="16">
        <f t="shared" si="10"/>
        <v>6.3271604938271608E-2</v>
      </c>
      <c r="I67" s="9">
        <f t="shared" si="9"/>
        <v>36</v>
      </c>
      <c r="J67" s="17">
        <f t="shared" si="11"/>
        <v>6.8702290076335881E-2</v>
      </c>
    </row>
    <row r="68" spans="6:10" x14ac:dyDescent="0.2">
      <c r="F68" s="6" t="s">
        <v>31</v>
      </c>
      <c r="G68" s="9">
        <f t="shared" si="8"/>
        <v>54</v>
      </c>
      <c r="H68" s="16">
        <f t="shared" si="10"/>
        <v>8.3333333333333329E-2</v>
      </c>
      <c r="I68" s="9">
        <f t="shared" si="9"/>
        <v>43</v>
      </c>
      <c r="J68" s="17">
        <f t="shared" si="11"/>
        <v>8.2061068702290074E-2</v>
      </c>
    </row>
    <row r="69" spans="6:10" x14ac:dyDescent="0.2">
      <c r="F69" s="6" t="s">
        <v>32</v>
      </c>
      <c r="G69" s="9">
        <f t="shared" si="8"/>
        <v>48</v>
      </c>
      <c r="H69" s="16">
        <f t="shared" si="10"/>
        <v>7.407407407407407E-2</v>
      </c>
      <c r="I69" s="9">
        <f t="shared" si="9"/>
        <v>26</v>
      </c>
      <c r="J69" s="17">
        <f t="shared" si="11"/>
        <v>4.9618320610687022E-2</v>
      </c>
    </row>
    <row r="70" spans="6:10" x14ac:dyDescent="0.2">
      <c r="F70" s="6" t="s">
        <v>33</v>
      </c>
      <c r="G70" s="9">
        <f t="shared" si="8"/>
        <v>45</v>
      </c>
      <c r="H70" s="16">
        <f t="shared" si="10"/>
        <v>6.9444444444444448E-2</v>
      </c>
      <c r="I70" s="9">
        <f t="shared" si="9"/>
        <v>38</v>
      </c>
      <c r="J70" s="17">
        <f t="shared" si="11"/>
        <v>7.2519083969465645E-2</v>
      </c>
    </row>
    <row r="71" spans="6:10" x14ac:dyDescent="0.2">
      <c r="F71" s="6" t="s">
        <v>34</v>
      </c>
      <c r="G71" s="9">
        <f t="shared" si="8"/>
        <v>48</v>
      </c>
      <c r="H71" s="16">
        <f t="shared" si="10"/>
        <v>7.407407407407407E-2</v>
      </c>
      <c r="I71" s="9">
        <f t="shared" si="9"/>
        <v>54</v>
      </c>
      <c r="J71" s="17">
        <f t="shared" si="11"/>
        <v>0.10305343511450382</v>
      </c>
    </row>
    <row r="72" spans="6:10" x14ac:dyDescent="0.2">
      <c r="F72" s="6" t="s">
        <v>35</v>
      </c>
      <c r="G72" s="9">
        <f t="shared" si="8"/>
        <v>54</v>
      </c>
      <c r="H72" s="16">
        <f t="shared" si="10"/>
        <v>8.3333333333333329E-2</v>
      </c>
      <c r="I72" s="9">
        <f t="shared" si="9"/>
        <v>44</v>
      </c>
      <c r="J72" s="17">
        <f t="shared" si="11"/>
        <v>8.3969465648854963E-2</v>
      </c>
    </row>
    <row r="73" spans="6:10" ht="13.5" thickBot="1" x14ac:dyDescent="0.25">
      <c r="F73" s="7" t="s">
        <v>36</v>
      </c>
      <c r="G73" s="18">
        <f t="shared" si="8"/>
        <v>22</v>
      </c>
      <c r="H73" s="65">
        <f>AVERAGE(H18)</f>
        <v>3.3950617283950615E-2</v>
      </c>
      <c r="I73" s="18">
        <f t="shared" si="9"/>
        <v>57</v>
      </c>
      <c r="J73" s="20">
        <f>+AVERAGE(J18)</f>
        <v>0.10877862595419847</v>
      </c>
    </row>
    <row r="74" spans="6:10" ht="13.5" thickTop="1" x14ac:dyDescent="0.2">
      <c r="F74" s="12" t="s">
        <v>25</v>
      </c>
      <c r="H74" s="21">
        <f>SUM(H62:H73)</f>
        <v>0.77314814814814814</v>
      </c>
      <c r="J74" s="21">
        <f>SUM(J62:J73)</f>
        <v>0.77290076335877878</v>
      </c>
    </row>
    <row r="75" spans="6:10" x14ac:dyDescent="0.2">
      <c r="F75" s="1" t="s">
        <v>21</v>
      </c>
      <c r="G75" s="64">
        <f>AVERAGE(G20,G38,G56)</f>
        <v>648</v>
      </c>
      <c r="H75" s="21"/>
      <c r="I75" s="11">
        <f>AVERAGE(I20,I38,I56)</f>
        <v>524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C88-DE12-4DF9-A6C9-C420DE4649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268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1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58" t="s">
        <v>39</v>
      </c>
    </row>
    <row r="7" spans="2:26" x14ac:dyDescent="0.2">
      <c r="B7" s="114" t="s">
        <v>26</v>
      </c>
      <c r="C7" s="162">
        <v>5.8999999999999999E-3</v>
      </c>
      <c r="D7" s="163">
        <v>4.0000000000000002E-4</v>
      </c>
      <c r="E7" s="162">
        <v>5.0000000000000001E-4</v>
      </c>
      <c r="F7" s="163">
        <v>0</v>
      </c>
      <c r="G7" s="162">
        <v>1.0800000000000001E-2</v>
      </c>
      <c r="H7" s="163">
        <v>3.0000000000000001E-3</v>
      </c>
    </row>
    <row r="8" spans="2:26" x14ac:dyDescent="0.2">
      <c r="B8" s="117" t="s">
        <v>27</v>
      </c>
      <c r="C8" s="149">
        <v>1.5300000000000001E-2</v>
      </c>
      <c r="D8" s="166">
        <v>1.4400000000000001E-2</v>
      </c>
      <c r="E8" s="149">
        <v>4.8000000000000004E-3</v>
      </c>
      <c r="F8" s="166">
        <v>1.6000000000000001E-3</v>
      </c>
      <c r="G8" s="149">
        <v>2.6600000000000002E-2</v>
      </c>
      <c r="H8" s="166">
        <v>1.67E-2</v>
      </c>
    </row>
    <row r="9" spans="2:26" x14ac:dyDescent="0.2">
      <c r="B9" s="117" t="s">
        <v>28</v>
      </c>
      <c r="C9" s="149">
        <v>4.3300000000000005E-2</v>
      </c>
      <c r="D9" s="166">
        <v>3.2800000000000003E-2</v>
      </c>
      <c r="E9" s="149">
        <v>3.9100000000000003E-2</v>
      </c>
      <c r="F9" s="166">
        <v>1.8200000000000001E-2</v>
      </c>
      <c r="G9" s="149">
        <v>4.24E-2</v>
      </c>
      <c r="H9" s="166">
        <v>3.0500000000000003E-2</v>
      </c>
    </row>
    <row r="10" spans="2:26" x14ac:dyDescent="0.2">
      <c r="B10" s="117" t="s">
        <v>29</v>
      </c>
      <c r="C10" s="149">
        <v>5.0500000000000003E-2</v>
      </c>
      <c r="D10" s="166">
        <v>4.4500000000000005E-2</v>
      </c>
      <c r="E10" s="149">
        <v>6.6400000000000001E-2</v>
      </c>
      <c r="F10" s="166">
        <v>5.8400000000000001E-2</v>
      </c>
      <c r="G10" s="149">
        <v>5.62E-2</v>
      </c>
      <c r="H10" s="166">
        <v>5.0200000000000002E-2</v>
      </c>
    </row>
    <row r="11" spans="2:26" x14ac:dyDescent="0.2">
      <c r="B11" s="117" t="s">
        <v>30</v>
      </c>
      <c r="C11" s="149">
        <v>6.4100000000000004E-2</v>
      </c>
      <c r="D11" s="166">
        <v>5.3900000000000003E-2</v>
      </c>
      <c r="E11" s="149">
        <v>8.5699999999999998E-2</v>
      </c>
      <c r="F11" s="166">
        <v>6.6900000000000001E-2</v>
      </c>
      <c r="G11" s="149">
        <v>9.1700000000000004E-2</v>
      </c>
      <c r="H11" s="166">
        <v>6.2E-2</v>
      </c>
    </row>
    <row r="12" spans="2:26" x14ac:dyDescent="0.2">
      <c r="B12" s="117" t="s">
        <v>37</v>
      </c>
      <c r="C12" s="149">
        <v>7.4499999999999997E-2</v>
      </c>
      <c r="D12" s="166">
        <v>7.3200000000000001E-2</v>
      </c>
      <c r="E12" s="149">
        <v>0.11360000000000001</v>
      </c>
      <c r="F12" s="166">
        <v>0.1022</v>
      </c>
      <c r="G12" s="149">
        <v>0.1144</v>
      </c>
      <c r="H12" s="166">
        <v>0.10930000000000001</v>
      </c>
    </row>
    <row r="13" spans="2:26" x14ac:dyDescent="0.2">
      <c r="B13" s="117" t="s">
        <v>31</v>
      </c>
      <c r="C13" s="149">
        <v>9.2499999999999999E-2</v>
      </c>
      <c r="D13" s="166">
        <v>9.920000000000001E-2</v>
      </c>
      <c r="E13" s="149">
        <v>0.1061</v>
      </c>
      <c r="F13" s="166">
        <v>0.10390000000000001</v>
      </c>
      <c r="G13" s="149">
        <v>0.10550000000000001</v>
      </c>
      <c r="H13" s="166">
        <v>0.11520000000000001</v>
      </c>
    </row>
    <row r="14" spans="2:26" x14ac:dyDescent="0.2">
      <c r="B14" s="117" t="s">
        <v>32</v>
      </c>
      <c r="C14" s="149">
        <v>8.660000000000001E-2</v>
      </c>
      <c r="D14" s="166">
        <v>7.4499999999999997E-2</v>
      </c>
      <c r="E14" s="149">
        <v>0.1125</v>
      </c>
      <c r="F14" s="166">
        <v>0.1135</v>
      </c>
      <c r="G14" s="149">
        <v>0.1134</v>
      </c>
      <c r="H14" s="166">
        <v>0.12200000000000001</v>
      </c>
    </row>
    <row r="15" spans="2:26" x14ac:dyDescent="0.2">
      <c r="B15" s="117" t="s">
        <v>33</v>
      </c>
      <c r="C15" s="149">
        <v>8.7500000000000008E-2</v>
      </c>
      <c r="D15" s="166">
        <v>9.1600000000000001E-2</v>
      </c>
      <c r="E15" s="149">
        <v>9.11E-2</v>
      </c>
      <c r="F15" s="166">
        <v>0.10650000000000001</v>
      </c>
      <c r="G15" s="149">
        <v>0.1193</v>
      </c>
      <c r="H15" s="166">
        <v>0.11220000000000001</v>
      </c>
    </row>
    <row r="16" spans="2:26" x14ac:dyDescent="0.2">
      <c r="B16" s="117" t="s">
        <v>34</v>
      </c>
      <c r="C16" s="149">
        <v>8.8900000000000007E-2</v>
      </c>
      <c r="D16" s="166">
        <v>8.4900000000000003E-2</v>
      </c>
      <c r="E16" s="149">
        <v>9.8600000000000007E-2</v>
      </c>
      <c r="F16" s="166">
        <v>8.4000000000000005E-2</v>
      </c>
      <c r="G16" s="149">
        <v>9.6600000000000005E-2</v>
      </c>
      <c r="H16" s="166">
        <v>0.10630000000000001</v>
      </c>
    </row>
    <row r="17" spans="2:8" x14ac:dyDescent="0.2">
      <c r="B17" s="117" t="s">
        <v>35</v>
      </c>
      <c r="C17" s="149">
        <v>9.7900000000000001E-2</v>
      </c>
      <c r="D17" s="166">
        <v>9.6500000000000002E-2</v>
      </c>
      <c r="E17" s="149">
        <v>9.0000000000000011E-2</v>
      </c>
      <c r="F17" s="166">
        <v>0.10060000000000001</v>
      </c>
      <c r="G17" s="149">
        <v>7.1000000000000008E-2</v>
      </c>
      <c r="H17" s="166">
        <v>8.660000000000001E-2</v>
      </c>
    </row>
    <row r="18" spans="2:8" x14ac:dyDescent="0.2">
      <c r="B18" s="117" t="s">
        <v>36</v>
      </c>
      <c r="C18" s="149">
        <v>9.4800000000000009E-2</v>
      </c>
      <c r="D18" s="166">
        <v>9.4700000000000006E-2</v>
      </c>
      <c r="E18" s="149">
        <v>6.7500000000000004E-2</v>
      </c>
      <c r="F18" s="166">
        <v>7.7100000000000002E-2</v>
      </c>
      <c r="G18" s="149">
        <v>6.8000000000000005E-2</v>
      </c>
      <c r="H18" s="166">
        <v>7.0900000000000005E-2</v>
      </c>
    </row>
    <row r="19" spans="2:8" x14ac:dyDescent="0.2">
      <c r="B19" s="159" t="s">
        <v>141</v>
      </c>
      <c r="C19" s="149">
        <v>7.7600000000000002E-2</v>
      </c>
      <c r="D19" s="166">
        <v>9.2499999999999999E-2</v>
      </c>
      <c r="E19" s="149">
        <v>5.8400000000000001E-2</v>
      </c>
      <c r="F19" s="166">
        <v>6.8500000000000005E-2</v>
      </c>
      <c r="G19" s="149">
        <v>4.9300000000000004E-2</v>
      </c>
      <c r="H19" s="166">
        <v>6.4000000000000001E-2</v>
      </c>
    </row>
    <row r="20" spans="2:8" x14ac:dyDescent="0.2">
      <c r="B20" s="157" t="s">
        <v>142</v>
      </c>
      <c r="C20" s="149">
        <v>5.6400000000000006E-2</v>
      </c>
      <c r="D20" s="166">
        <v>6.6500000000000004E-2</v>
      </c>
      <c r="E20" s="149">
        <v>3.4300000000000004E-2</v>
      </c>
      <c r="F20" s="166">
        <v>5.0300000000000004E-2</v>
      </c>
      <c r="G20" s="149">
        <v>2.3700000000000002E-2</v>
      </c>
      <c r="H20" s="166">
        <v>3.3500000000000002E-2</v>
      </c>
    </row>
    <row r="21" spans="2:8" x14ac:dyDescent="0.2">
      <c r="B21" s="157" t="s">
        <v>160</v>
      </c>
      <c r="C21" s="149">
        <v>3.7900000000000003E-2</v>
      </c>
      <c r="D21" s="166">
        <v>4.2200000000000001E-2</v>
      </c>
      <c r="E21" s="149">
        <v>1.77E-2</v>
      </c>
      <c r="F21" s="166">
        <v>2.9400000000000003E-2</v>
      </c>
      <c r="G21" s="149">
        <v>2E-3</v>
      </c>
      <c r="H21" s="166">
        <v>7.9000000000000008E-3</v>
      </c>
    </row>
    <row r="22" spans="2:8" x14ac:dyDescent="0.2">
      <c r="B22" s="157" t="s">
        <v>161</v>
      </c>
      <c r="C22" s="149">
        <v>1.9E-2</v>
      </c>
      <c r="D22" s="166">
        <v>2.7800000000000002E-2</v>
      </c>
      <c r="E22" s="149">
        <v>4.3E-3</v>
      </c>
      <c r="F22" s="166">
        <v>1.0200000000000001E-2</v>
      </c>
      <c r="G22" s="149">
        <v>2E-3</v>
      </c>
      <c r="H22" s="166">
        <v>3.9000000000000003E-3</v>
      </c>
    </row>
    <row r="23" spans="2:8" ht="13.5" thickBot="1" x14ac:dyDescent="0.25">
      <c r="B23" s="160" t="s">
        <v>186</v>
      </c>
      <c r="C23" s="150">
        <v>7.2000000000000007E-3</v>
      </c>
      <c r="D23" s="168">
        <v>1.03E-2</v>
      </c>
      <c r="E23" s="150">
        <v>9.6000000000000009E-3</v>
      </c>
      <c r="F23" s="168">
        <v>8.6E-3</v>
      </c>
      <c r="G23" s="150">
        <v>6.9000000000000008E-3</v>
      </c>
      <c r="H23" s="168">
        <v>5.8999999999999999E-3</v>
      </c>
    </row>
    <row r="24" spans="2:8" ht="13.5" thickBot="1" x14ac:dyDescent="0.25">
      <c r="B24" s="142"/>
      <c r="C24" s="143">
        <f>SUM(C7:C23)</f>
        <v>0.99990000000000001</v>
      </c>
      <c r="D24" s="161">
        <f t="shared" ref="D24:F24" si="0">SUM(D7:D23)</f>
        <v>0.99990000000000012</v>
      </c>
      <c r="E24" s="143">
        <f>SUM(E7:E23)</f>
        <v>1.0002</v>
      </c>
      <c r="F24" s="161">
        <f t="shared" si="0"/>
        <v>0.99990000000000001</v>
      </c>
      <c r="G24" s="143">
        <f>SUM(G7:G23)</f>
        <v>0.99980000000000002</v>
      </c>
      <c r="H24" s="161">
        <f t="shared" ref="H24" si="1">SUM(H7:H23)</f>
        <v>1.0001</v>
      </c>
    </row>
    <row r="25" spans="2:8" ht="13.5" thickTop="1" x14ac:dyDescent="0.2"/>
    <row r="27" spans="2:8" x14ac:dyDescent="0.2">
      <c r="B27" s="66" t="s">
        <v>238</v>
      </c>
    </row>
    <row r="28" spans="2:8" x14ac:dyDescent="0.2">
      <c r="B28" s="66" t="s">
        <v>266</v>
      </c>
    </row>
    <row r="29" spans="2:8" x14ac:dyDescent="0.2">
      <c r="B29" s="66" t="s">
        <v>267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Z27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style="132" customWidth="1"/>
    <col min="3" max="4" width="12.7109375" style="132" customWidth="1"/>
    <col min="5" max="5" width="9.140625" style="11"/>
  </cols>
  <sheetData>
    <row r="2" spans="2:26" x14ac:dyDescent="0.2">
      <c r="B2" s="232" t="s">
        <v>179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</row>
    <row r="6" spans="2:26" ht="13.5" thickBot="1" x14ac:dyDescent="0.25">
      <c r="B6" s="249"/>
      <c r="C6" s="112" t="s">
        <v>38</v>
      </c>
      <c r="D6" s="113" t="s">
        <v>39</v>
      </c>
      <c r="E6" s="67" t="s">
        <v>20</v>
      </c>
    </row>
    <row r="7" spans="2:26" x14ac:dyDescent="0.2">
      <c r="B7" s="114" t="s">
        <v>26</v>
      </c>
      <c r="C7" s="146" t="s">
        <v>165</v>
      </c>
      <c r="D7" s="147" t="s">
        <v>165</v>
      </c>
      <c r="E7" s="67"/>
    </row>
    <row r="8" spans="2:26" x14ac:dyDescent="0.2">
      <c r="B8" s="114" t="s">
        <v>27</v>
      </c>
      <c r="C8" s="145">
        <v>1.8127799999999999E-2</v>
      </c>
      <c r="D8" s="116">
        <v>1.27566E-2</v>
      </c>
      <c r="E8" s="127">
        <f t="shared" ref="E8:E19" si="0">+C8+D8</f>
        <v>3.0884399999999999E-2</v>
      </c>
    </row>
    <row r="9" spans="2:26" x14ac:dyDescent="0.2">
      <c r="B9" s="117" t="s">
        <v>28</v>
      </c>
      <c r="C9" s="138">
        <v>2.7452799999999999E-2</v>
      </c>
      <c r="D9" s="119">
        <v>1.74564E-2</v>
      </c>
      <c r="E9" s="127">
        <f t="shared" si="0"/>
        <v>4.4909199999999996E-2</v>
      </c>
    </row>
    <row r="10" spans="2:26" x14ac:dyDescent="0.2">
      <c r="B10" s="117" t="s">
        <v>29</v>
      </c>
      <c r="C10" s="138">
        <v>3.7150799999999998E-2</v>
      </c>
      <c r="D10" s="119">
        <v>3.4092199999999996E-2</v>
      </c>
      <c r="E10" s="127">
        <f t="shared" si="0"/>
        <v>7.1243000000000001E-2</v>
      </c>
    </row>
    <row r="11" spans="2:26" x14ac:dyDescent="0.2">
      <c r="B11" s="117" t="s">
        <v>30</v>
      </c>
      <c r="C11" s="138">
        <v>4.4386999999999996E-2</v>
      </c>
      <c r="D11" s="119">
        <v>4.0060199999999997E-2</v>
      </c>
      <c r="E11" s="127">
        <f t="shared" si="0"/>
        <v>8.44472E-2</v>
      </c>
    </row>
    <row r="12" spans="2:26" x14ac:dyDescent="0.2">
      <c r="B12" s="117" t="s">
        <v>37</v>
      </c>
      <c r="C12" s="138">
        <v>5.4457999999999999E-2</v>
      </c>
      <c r="D12" s="119">
        <v>5.0653400000000001E-2</v>
      </c>
      <c r="E12" s="127">
        <f t="shared" si="0"/>
        <v>0.10511139999999999</v>
      </c>
    </row>
    <row r="13" spans="2:26" x14ac:dyDescent="0.2">
      <c r="B13" s="117" t="s">
        <v>31</v>
      </c>
      <c r="C13" s="138">
        <v>6.5498799999999996E-2</v>
      </c>
      <c r="D13" s="119">
        <v>5.8784799999999998E-2</v>
      </c>
      <c r="E13" s="127">
        <f t="shared" si="0"/>
        <v>0.12428359999999999</v>
      </c>
    </row>
    <row r="14" spans="2:26" x14ac:dyDescent="0.2">
      <c r="B14" s="117" t="s">
        <v>32</v>
      </c>
      <c r="C14" s="138">
        <v>6.1694199999999998E-2</v>
      </c>
      <c r="D14" s="119">
        <v>6.6393999999999995E-2</v>
      </c>
      <c r="E14" s="127">
        <f t="shared" si="0"/>
        <v>0.12808819999999999</v>
      </c>
    </row>
    <row r="15" spans="2:26" x14ac:dyDescent="0.2">
      <c r="B15" s="117" t="s">
        <v>33</v>
      </c>
      <c r="C15" s="138">
        <v>7.3928599999999997E-2</v>
      </c>
      <c r="D15" s="119">
        <v>7.4972999999999998E-2</v>
      </c>
      <c r="E15" s="127">
        <f t="shared" si="0"/>
        <v>0.1489016</v>
      </c>
    </row>
    <row r="16" spans="2:26" x14ac:dyDescent="0.2">
      <c r="B16" s="117" t="s">
        <v>34</v>
      </c>
      <c r="C16" s="138">
        <v>8.9967599999999995E-2</v>
      </c>
      <c r="D16" s="119">
        <v>9.8770399999999994E-2</v>
      </c>
      <c r="E16" s="127">
        <f t="shared" si="0"/>
        <v>0.18873799999999999</v>
      </c>
    </row>
    <row r="17" spans="2:7" x14ac:dyDescent="0.2">
      <c r="B17" s="117" t="s">
        <v>35</v>
      </c>
      <c r="C17" s="138">
        <v>0.1047384</v>
      </c>
      <c r="D17" s="119">
        <v>9.7502200000000011E-2</v>
      </c>
      <c r="E17" s="127">
        <f t="shared" si="0"/>
        <v>0.20224059999999999</v>
      </c>
    </row>
    <row r="18" spans="2:7" x14ac:dyDescent="0.2">
      <c r="B18" s="117" t="s">
        <v>36</v>
      </c>
      <c r="C18" s="138">
        <v>0.1034702</v>
      </c>
      <c r="D18" s="119">
        <v>0.1094382</v>
      </c>
      <c r="E18" s="127">
        <f t="shared" si="0"/>
        <v>0.2129084</v>
      </c>
    </row>
    <row r="19" spans="2:7" ht="13.5" thickBot="1" x14ac:dyDescent="0.25">
      <c r="B19" s="139" t="s">
        <v>141</v>
      </c>
      <c r="C19" s="140">
        <v>6.5051200000000003E-2</v>
      </c>
      <c r="D19" s="141">
        <v>8.5193199999999997E-2</v>
      </c>
      <c r="E19" s="127">
        <f t="shared" si="0"/>
        <v>0.1502444</v>
      </c>
    </row>
    <row r="20" spans="2:7" ht="13.5" thickBot="1" x14ac:dyDescent="0.25">
      <c r="B20" s="142"/>
      <c r="C20" s="143">
        <f>SUM(C8:C19)</f>
        <v>0.74592539999999985</v>
      </c>
      <c r="D20" s="144">
        <f t="shared" ref="D20" si="1">SUM(D8:D19)</f>
        <v>0.74607460000000003</v>
      </c>
      <c r="E20" s="128"/>
    </row>
    <row r="21" spans="2:7" ht="13.5" thickTop="1" x14ac:dyDescent="0.2"/>
    <row r="23" spans="2:7" x14ac:dyDescent="0.2">
      <c r="B23" s="156" t="s">
        <v>168</v>
      </c>
      <c r="C23" s="131"/>
      <c r="D23" s="131"/>
    </row>
    <row r="26" spans="2:7" x14ac:dyDescent="0.2">
      <c r="G26" s="66" t="s">
        <v>74</v>
      </c>
    </row>
    <row r="27" spans="2:7" x14ac:dyDescent="0.2">
      <c r="D27" s="155"/>
      <c r="G27" s="66" t="s">
        <v>75</v>
      </c>
    </row>
  </sheetData>
  <mergeCells count="3">
    <mergeCell ref="C5:D5"/>
    <mergeCell ref="B5:B6"/>
    <mergeCell ref="B2:Z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4468-B29C-4540-A7B1-D747BC0D5CDD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232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7.2099999999999997E-2</v>
      </c>
      <c r="D7" s="163">
        <v>7.0000000000000001E-3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0.1804</v>
      </c>
      <c r="D8" s="166">
        <v>2.29E-2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0.1082</v>
      </c>
      <c r="D9" s="166">
        <v>4.58E-2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7.3099999999999998E-2</v>
      </c>
      <c r="D10" s="166">
        <v>7.2599999999999998E-2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7.7200000000000005E-2</v>
      </c>
      <c r="D11" s="166">
        <v>7.7600000000000002E-2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6.5100000000000005E-2</v>
      </c>
      <c r="D12" s="166">
        <v>8.4600000000000009E-2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9.0200000000000002E-2</v>
      </c>
      <c r="D13" s="166">
        <v>0.1085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8.5199999999999998E-2</v>
      </c>
      <c r="D14" s="166">
        <v>7.2599999999999998E-2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7.3099999999999998E-2</v>
      </c>
      <c r="D15" s="166">
        <v>8.8599999999999998E-2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6.0100000000000001E-2</v>
      </c>
      <c r="D16" s="166">
        <v>0.1134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4.1100000000000005E-2</v>
      </c>
      <c r="D17" s="166">
        <v>0.1085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1.2E-2</v>
      </c>
      <c r="D18" s="166">
        <v>0.16720000000000002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1E-3</v>
      </c>
      <c r="D19" s="166">
        <v>2.3900000000000001E-2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0</v>
      </c>
      <c r="D20" s="166">
        <v>1E-3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0</v>
      </c>
      <c r="D21" s="166">
        <v>0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0</v>
      </c>
      <c r="D22" s="166">
        <v>0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6.1100000000000002E-2</v>
      </c>
      <c r="D23" s="168">
        <v>6.0000000000000001E-3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0.99990000000000012</v>
      </c>
      <c r="D24" s="161">
        <f t="shared" ref="D24" si="0">SUM(D7:D23)</f>
        <v>1.0002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233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2:Z3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8.9999999999999993E-3</v>
      </c>
      <c r="D7" s="163">
        <v>3.0000000000000001E-3</v>
      </c>
      <c r="E7" s="164">
        <v>3.0000000000000001E-3</v>
      </c>
      <c r="F7" s="163">
        <v>1E-3</v>
      </c>
      <c r="G7" s="164">
        <v>2E-3</v>
      </c>
      <c r="H7" s="165">
        <v>1E-3</v>
      </c>
    </row>
    <row r="8" spans="2:26" x14ac:dyDescent="0.2">
      <c r="B8" s="117" t="s">
        <v>27</v>
      </c>
      <c r="C8" s="149">
        <v>1.0999999999999999E-2</v>
      </c>
      <c r="D8" s="172">
        <v>6.0000000000000001E-3</v>
      </c>
      <c r="E8" s="120">
        <v>5.0000000000000001E-3</v>
      </c>
      <c r="F8" s="166">
        <v>3.0000000000000001E-3</v>
      </c>
      <c r="G8" s="120">
        <v>1E-3</v>
      </c>
      <c r="H8" s="167">
        <v>3.0000000000000001E-3</v>
      </c>
    </row>
    <row r="9" spans="2:26" x14ac:dyDescent="0.2">
      <c r="B9" s="117" t="s">
        <v>28</v>
      </c>
      <c r="C9" s="149">
        <v>1.0999999999999999E-2</v>
      </c>
      <c r="D9" s="166">
        <v>7.0000000000000001E-3</v>
      </c>
      <c r="E9" s="120">
        <v>1.2E-2</v>
      </c>
      <c r="F9" s="166">
        <v>5.0000000000000001E-3</v>
      </c>
      <c r="G9" s="120">
        <v>0</v>
      </c>
      <c r="H9" s="167">
        <v>0</v>
      </c>
    </row>
    <row r="10" spans="2:26" x14ac:dyDescent="0.2">
      <c r="B10" s="117" t="s">
        <v>29</v>
      </c>
      <c r="C10" s="149">
        <v>2.5999999999999999E-2</v>
      </c>
      <c r="D10" s="166">
        <v>1.7999999999999999E-2</v>
      </c>
      <c r="E10" s="120">
        <v>3.9E-2</v>
      </c>
      <c r="F10" s="166">
        <v>1.6E-2</v>
      </c>
      <c r="G10" s="120">
        <v>4.0000000000000001E-3</v>
      </c>
      <c r="H10" s="167">
        <v>3.0000000000000001E-3</v>
      </c>
    </row>
    <row r="11" spans="2:26" x14ac:dyDescent="0.2">
      <c r="B11" s="117" t="s">
        <v>30</v>
      </c>
      <c r="C11" s="149">
        <v>5.1999999999999998E-2</v>
      </c>
      <c r="D11" s="166">
        <v>3.5999999999999997E-2</v>
      </c>
      <c r="E11" s="120">
        <v>7.0000000000000007E-2</v>
      </c>
      <c r="F11" s="166">
        <v>4.2000000000000003E-2</v>
      </c>
      <c r="G11" s="120">
        <v>1.2999999999999999E-2</v>
      </c>
      <c r="H11" s="167">
        <v>2.3E-2</v>
      </c>
    </row>
    <row r="12" spans="2:26" x14ac:dyDescent="0.2">
      <c r="B12" s="117" t="s">
        <v>37</v>
      </c>
      <c r="C12" s="149">
        <v>8.5000000000000006E-2</v>
      </c>
      <c r="D12" s="166">
        <v>5.7000000000000002E-2</v>
      </c>
      <c r="E12" s="120">
        <v>0.11</v>
      </c>
      <c r="F12" s="166">
        <v>7.9000000000000001E-2</v>
      </c>
      <c r="G12" s="120">
        <v>5.1999999999999998E-2</v>
      </c>
      <c r="H12" s="167">
        <v>4.9000000000000002E-2</v>
      </c>
    </row>
    <row r="13" spans="2:26" x14ac:dyDescent="0.2">
      <c r="B13" s="117" t="s">
        <v>31</v>
      </c>
      <c r="C13" s="149">
        <v>0.114</v>
      </c>
      <c r="D13" s="166">
        <v>9.5000000000000001E-2</v>
      </c>
      <c r="E13" s="120">
        <v>0.126</v>
      </c>
      <c r="F13" s="166">
        <v>0.108</v>
      </c>
      <c r="G13" s="120">
        <v>0.18</v>
      </c>
      <c r="H13" s="178">
        <v>0.122</v>
      </c>
    </row>
    <row r="14" spans="2:26" x14ac:dyDescent="0.2">
      <c r="B14" s="117" t="s">
        <v>32</v>
      </c>
      <c r="C14" s="149">
        <v>0.104</v>
      </c>
      <c r="D14" s="166">
        <v>0.11</v>
      </c>
      <c r="E14" s="120">
        <v>0.129</v>
      </c>
      <c r="F14" s="166">
        <v>0.11799999999999999</v>
      </c>
      <c r="G14" s="120">
        <v>0.17199999999999999</v>
      </c>
      <c r="H14" s="167">
        <v>0.16400000000000001</v>
      </c>
    </row>
    <row r="15" spans="2:26" x14ac:dyDescent="0.2">
      <c r="B15" s="117" t="s">
        <v>33</v>
      </c>
      <c r="C15" s="149">
        <v>0.09</v>
      </c>
      <c r="D15" s="166">
        <v>0.10199999999999999</v>
      </c>
      <c r="E15" s="120">
        <v>0.13200000000000001</v>
      </c>
      <c r="F15" s="166">
        <v>0.125</v>
      </c>
      <c r="G15" s="120">
        <v>0.20499999999999999</v>
      </c>
      <c r="H15" s="167">
        <v>0.16500000000000001</v>
      </c>
    </row>
    <row r="16" spans="2:26" x14ac:dyDescent="0.2">
      <c r="B16" s="117" t="s">
        <v>34</v>
      </c>
      <c r="C16" s="149">
        <v>8.2000000000000003E-2</v>
      </c>
      <c r="D16" s="166">
        <v>9.4E-2</v>
      </c>
      <c r="E16" s="120">
        <v>0.109</v>
      </c>
      <c r="F16" s="166">
        <v>0.126</v>
      </c>
      <c r="G16" s="120">
        <v>0.16600000000000001</v>
      </c>
      <c r="H16" s="167">
        <v>0.152</v>
      </c>
    </row>
    <row r="17" spans="2:8" x14ac:dyDescent="0.2">
      <c r="B17" s="117" t="s">
        <v>35</v>
      </c>
      <c r="C17" s="149">
        <v>7.9000000000000001E-2</v>
      </c>
      <c r="D17" s="166">
        <v>8.5999999999999993E-2</v>
      </c>
      <c r="E17" s="120">
        <v>9.4E-2</v>
      </c>
      <c r="F17" s="166">
        <v>0.113</v>
      </c>
      <c r="G17" s="120">
        <v>0.127</v>
      </c>
      <c r="H17" s="167">
        <v>0.16200000000000001</v>
      </c>
    </row>
    <row r="18" spans="2:8" x14ac:dyDescent="0.2">
      <c r="B18" s="117" t="s">
        <v>36</v>
      </c>
      <c r="C18" s="149">
        <v>8.3000000000000004E-2</v>
      </c>
      <c r="D18" s="166">
        <v>7.9000000000000001E-2</v>
      </c>
      <c r="E18" s="120">
        <v>6.7000000000000004E-2</v>
      </c>
      <c r="F18" s="166">
        <v>9.8000000000000004E-2</v>
      </c>
      <c r="G18" s="120">
        <v>0.05</v>
      </c>
      <c r="H18" s="167">
        <v>0.1</v>
      </c>
    </row>
    <row r="19" spans="2:8" x14ac:dyDescent="0.2">
      <c r="B19" s="159" t="s">
        <v>141</v>
      </c>
      <c r="C19" s="149">
        <v>0.10100000000000001</v>
      </c>
      <c r="D19" s="166">
        <v>8.2000000000000003E-2</v>
      </c>
      <c r="E19" s="120">
        <v>0.05</v>
      </c>
      <c r="F19" s="166">
        <v>7.0999999999999994E-2</v>
      </c>
      <c r="G19" s="120">
        <v>1.7000000000000001E-2</v>
      </c>
      <c r="H19" s="167">
        <v>4.1000000000000002E-2</v>
      </c>
    </row>
    <row r="20" spans="2:8" x14ac:dyDescent="0.2">
      <c r="B20" s="157" t="s">
        <v>142</v>
      </c>
      <c r="C20" s="149">
        <v>9.5000000000000001E-2</v>
      </c>
      <c r="D20" s="166">
        <v>9.7000000000000003E-2</v>
      </c>
      <c r="E20" s="120">
        <v>3.4000000000000002E-2</v>
      </c>
      <c r="F20" s="166">
        <v>4.8000000000000001E-2</v>
      </c>
      <c r="G20" s="120">
        <v>3.0000000000000001E-3</v>
      </c>
      <c r="H20" s="167">
        <v>0.01</v>
      </c>
    </row>
    <row r="21" spans="2:8" x14ac:dyDescent="0.2">
      <c r="B21" s="157" t="s">
        <v>160</v>
      </c>
      <c r="C21" s="149">
        <v>3.6999999999999998E-2</v>
      </c>
      <c r="D21" s="166">
        <v>9.9000000000000005E-2</v>
      </c>
      <c r="E21" s="120">
        <v>0.01</v>
      </c>
      <c r="F21" s="166">
        <v>3.5000000000000003E-2</v>
      </c>
      <c r="G21" s="120">
        <v>3.0000000000000001E-3</v>
      </c>
      <c r="H21" s="167">
        <v>2E-3</v>
      </c>
    </row>
    <row r="22" spans="2:8" x14ac:dyDescent="0.2">
      <c r="B22" s="157" t="s">
        <v>161</v>
      </c>
      <c r="C22" s="149">
        <v>7.0000000000000001E-3</v>
      </c>
      <c r="D22" s="166">
        <v>0.02</v>
      </c>
      <c r="E22" s="179">
        <v>3.0000000000000001E-3</v>
      </c>
      <c r="F22" s="172">
        <v>8.9999999999999993E-3</v>
      </c>
      <c r="G22" s="120">
        <v>1E-3</v>
      </c>
      <c r="H22" s="167">
        <v>1E-3</v>
      </c>
    </row>
    <row r="23" spans="2:8" ht="13.5" thickBot="1" x14ac:dyDescent="0.25">
      <c r="B23" s="160" t="s">
        <v>186</v>
      </c>
      <c r="C23" s="150">
        <v>1.4E-2</v>
      </c>
      <c r="D23" s="168">
        <v>8.9999999999999993E-3</v>
      </c>
      <c r="E23" s="169">
        <v>7.0000000000000001E-3</v>
      </c>
      <c r="F23" s="168">
        <v>3.0000000000000001E-3</v>
      </c>
      <c r="G23" s="169">
        <v>4.0000000000000001E-3</v>
      </c>
      <c r="H23" s="170">
        <v>2E-3</v>
      </c>
    </row>
    <row r="24" spans="2:8" ht="13.5" thickBot="1" x14ac:dyDescent="0.25">
      <c r="B24" s="142"/>
      <c r="C24" s="143">
        <f>SUM(C7:C23)</f>
        <v>0.99999999999999989</v>
      </c>
      <c r="D24" s="161">
        <f t="shared" ref="D24:G24" si="0">SUM(D7:D23)</f>
        <v>0.99999999999999989</v>
      </c>
      <c r="E24" s="143">
        <f t="shared" si="0"/>
        <v>1</v>
      </c>
      <c r="F24" s="161">
        <f t="shared" si="0"/>
        <v>1</v>
      </c>
      <c r="G24" s="143">
        <f t="shared" si="0"/>
        <v>1</v>
      </c>
      <c r="H24" s="144">
        <f>SUM(H7:H23)</f>
        <v>1</v>
      </c>
    </row>
    <row r="25" spans="2:8" ht="13.5" thickTop="1" x14ac:dyDescent="0.2"/>
    <row r="27" spans="2:8" x14ac:dyDescent="0.2">
      <c r="B27" s="154" t="s">
        <v>269</v>
      </c>
    </row>
    <row r="28" spans="2:8" x14ac:dyDescent="0.2">
      <c r="B28" s="66" t="s">
        <v>205</v>
      </c>
    </row>
    <row r="29" spans="2:8" x14ac:dyDescent="0.2">
      <c r="B29" s="154" t="s">
        <v>204</v>
      </c>
    </row>
    <row r="30" spans="2:8" x14ac:dyDescent="0.2">
      <c r="B30" s="111" t="s">
        <v>253</v>
      </c>
    </row>
    <row r="31" spans="2:8" x14ac:dyDescent="0.2">
      <c r="B31" s="111" t="s">
        <v>270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customHeight="1" thickBot="1" x14ac:dyDescent="0.25"/>
    <row r="5" spans="2:26" ht="13.5" customHeight="1" thickTop="1" x14ac:dyDescent="0.2">
      <c r="B5" s="254" t="s">
        <v>0</v>
      </c>
      <c r="C5" s="246" t="s">
        <v>46</v>
      </c>
      <c r="D5" s="247"/>
      <c r="F5" s="2"/>
      <c r="G5" s="243" t="s">
        <v>102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3.1E-2</v>
      </c>
      <c r="D7" s="116">
        <v>2.1999999999999999E-2</v>
      </c>
      <c r="F7" s="8" t="s">
        <v>12</v>
      </c>
      <c r="G7" s="13">
        <f>68+67+2</f>
        <v>137</v>
      </c>
      <c r="H7" s="14">
        <f t="shared" ref="H7:H18" si="0">G7/$G$20</f>
        <v>3.0648769574944071E-2</v>
      </c>
      <c r="I7" s="13">
        <v>39</v>
      </c>
      <c r="J7" s="15">
        <f t="shared" ref="J7:J18" si="1">I7/$I$20</f>
        <v>2.215909090909091E-2</v>
      </c>
      <c r="L7" s="11">
        <f t="shared" ref="L7:L18" si="2">+G7+I7</f>
        <v>176</v>
      </c>
      <c r="M7" s="56">
        <f t="shared" ref="M7:M18" si="3">+L7/($G$20+$I$20)</f>
        <v>2.8250401284109151E-2</v>
      </c>
    </row>
    <row r="8" spans="2:26" x14ac:dyDescent="0.2">
      <c r="B8" s="117" t="s">
        <v>27</v>
      </c>
      <c r="C8" s="118">
        <v>4.1000000000000002E-2</v>
      </c>
      <c r="D8" s="119">
        <v>4.2000000000000003E-2</v>
      </c>
      <c r="F8" s="6" t="s">
        <v>1</v>
      </c>
      <c r="G8" s="9">
        <f>85+96+0</f>
        <v>181</v>
      </c>
      <c r="H8" s="16">
        <f t="shared" si="0"/>
        <v>4.0492170022371363E-2</v>
      </c>
      <c r="I8" s="9">
        <v>73</v>
      </c>
      <c r="J8" s="17">
        <f t="shared" si="1"/>
        <v>4.1477272727272731E-2</v>
      </c>
      <c r="L8" s="11">
        <f t="shared" si="2"/>
        <v>254</v>
      </c>
      <c r="M8" s="56">
        <f t="shared" si="3"/>
        <v>4.0770465489566615E-2</v>
      </c>
    </row>
    <row r="9" spans="2:26" x14ac:dyDescent="0.2">
      <c r="B9" s="117" t="s">
        <v>28</v>
      </c>
      <c r="C9" s="120">
        <v>5.8000000000000003E-2</v>
      </c>
      <c r="D9" s="119">
        <v>3.1E-2</v>
      </c>
      <c r="F9" s="6" t="s">
        <v>2</v>
      </c>
      <c r="G9" s="9">
        <f>136+123+2</f>
        <v>261</v>
      </c>
      <c r="H9" s="16">
        <f t="shared" si="0"/>
        <v>5.8389261744966441E-2</v>
      </c>
      <c r="I9" s="9">
        <v>54</v>
      </c>
      <c r="J9" s="17">
        <f t="shared" si="1"/>
        <v>3.0681818181818182E-2</v>
      </c>
      <c r="L9" s="11">
        <f t="shared" si="2"/>
        <v>315</v>
      </c>
      <c r="M9" s="56">
        <f t="shared" si="3"/>
        <v>5.0561797752808987E-2</v>
      </c>
    </row>
    <row r="10" spans="2:26" x14ac:dyDescent="0.2">
      <c r="B10" s="117" t="s">
        <v>29</v>
      </c>
      <c r="C10" s="120">
        <v>5.8000000000000003E-2</v>
      </c>
      <c r="D10" s="119">
        <v>4.4999999999999998E-2</v>
      </c>
      <c r="F10" s="6" t="s">
        <v>3</v>
      </c>
      <c r="G10" s="9">
        <f>136+121+3</f>
        <v>260</v>
      </c>
      <c r="H10" s="16">
        <f t="shared" si="0"/>
        <v>5.8165548098434001E-2</v>
      </c>
      <c r="I10" s="9">
        <v>79</v>
      </c>
      <c r="J10" s="17">
        <f t="shared" si="1"/>
        <v>4.4886363636363634E-2</v>
      </c>
      <c r="L10" s="11">
        <f t="shared" si="2"/>
        <v>339</v>
      </c>
      <c r="M10" s="56">
        <f t="shared" si="3"/>
        <v>5.4414125200642052E-2</v>
      </c>
    </row>
    <row r="11" spans="2:26" x14ac:dyDescent="0.2">
      <c r="B11" s="117" t="s">
        <v>30</v>
      </c>
      <c r="C11" s="120">
        <v>7.0999999999999994E-2</v>
      </c>
      <c r="D11" s="119">
        <v>4.9000000000000002E-2</v>
      </c>
      <c r="F11" s="6" t="s">
        <v>4</v>
      </c>
      <c r="G11" s="9">
        <f>179+133+4</f>
        <v>316</v>
      </c>
      <c r="H11" s="16">
        <f t="shared" si="0"/>
        <v>7.0693512304250555E-2</v>
      </c>
      <c r="I11" s="9">
        <v>86</v>
      </c>
      <c r="J11" s="17">
        <f t="shared" si="1"/>
        <v>4.8863636363636366E-2</v>
      </c>
      <c r="L11" s="11">
        <f t="shared" si="2"/>
        <v>402</v>
      </c>
      <c r="M11" s="56">
        <f t="shared" si="3"/>
        <v>6.4526484751203858E-2</v>
      </c>
    </row>
    <row r="12" spans="2:26" x14ac:dyDescent="0.2">
      <c r="B12" s="117" t="s">
        <v>37</v>
      </c>
      <c r="C12" s="120">
        <v>6.7000000000000004E-2</v>
      </c>
      <c r="D12" s="119">
        <v>6.9000000000000006E-2</v>
      </c>
      <c r="F12" s="6" t="s">
        <v>5</v>
      </c>
      <c r="G12" s="9">
        <f>188+107+3</f>
        <v>298</v>
      </c>
      <c r="H12" s="16">
        <f t="shared" si="0"/>
        <v>6.6666666666666666E-2</v>
      </c>
      <c r="I12" s="9">
        <v>122</v>
      </c>
      <c r="J12" s="17">
        <f t="shared" si="1"/>
        <v>6.931818181818182E-2</v>
      </c>
      <c r="L12" s="11">
        <f t="shared" si="2"/>
        <v>420</v>
      </c>
      <c r="M12" s="56">
        <f t="shared" si="3"/>
        <v>6.741573033707865E-2</v>
      </c>
    </row>
    <row r="13" spans="2:26" x14ac:dyDescent="0.2">
      <c r="B13" s="117" t="s">
        <v>31</v>
      </c>
      <c r="C13" s="120">
        <v>0.1</v>
      </c>
      <c r="D13" s="119">
        <v>9.8000000000000004E-2</v>
      </c>
      <c r="F13" s="6" t="s">
        <v>6</v>
      </c>
      <c r="G13" s="9">
        <f>270+178+1</f>
        <v>449</v>
      </c>
      <c r="H13" s="16">
        <f t="shared" si="0"/>
        <v>0.10044742729306488</v>
      </c>
      <c r="I13" s="9">
        <v>172</v>
      </c>
      <c r="J13" s="17">
        <f t="shared" si="1"/>
        <v>9.7727272727272732E-2</v>
      </c>
      <c r="L13" s="11">
        <f t="shared" si="2"/>
        <v>621</v>
      </c>
      <c r="M13" s="56">
        <f t="shared" si="3"/>
        <v>9.9678972712680572E-2</v>
      </c>
    </row>
    <row r="14" spans="2:26" x14ac:dyDescent="0.2">
      <c r="B14" s="117" t="s">
        <v>32</v>
      </c>
      <c r="C14" s="120">
        <v>8.5999999999999993E-2</v>
      </c>
      <c r="D14" s="119">
        <v>0.1</v>
      </c>
      <c r="F14" s="6" t="s">
        <v>7</v>
      </c>
      <c r="G14" s="9">
        <f>232+153+0</f>
        <v>385</v>
      </c>
      <c r="H14" s="16">
        <f t="shared" si="0"/>
        <v>8.612975391498881E-2</v>
      </c>
      <c r="I14" s="9">
        <v>176</v>
      </c>
      <c r="J14" s="17">
        <f t="shared" si="1"/>
        <v>0.1</v>
      </c>
      <c r="L14" s="11">
        <f t="shared" si="2"/>
        <v>561</v>
      </c>
      <c r="M14" s="56">
        <f t="shared" si="3"/>
        <v>9.004815409309791E-2</v>
      </c>
    </row>
    <row r="15" spans="2:26" x14ac:dyDescent="0.2">
      <c r="B15" s="117" t="s">
        <v>33</v>
      </c>
      <c r="C15" s="120">
        <v>7.4999999999999997E-2</v>
      </c>
      <c r="D15" s="119">
        <v>8.1000000000000003E-2</v>
      </c>
      <c r="F15" s="6" t="s">
        <v>8</v>
      </c>
      <c r="G15" s="9">
        <f>217+117+0</f>
        <v>334</v>
      </c>
      <c r="H15" s="16">
        <f t="shared" si="0"/>
        <v>7.4720357941834459E-2</v>
      </c>
      <c r="I15" s="9">
        <v>143</v>
      </c>
      <c r="J15" s="17">
        <f t="shared" si="1"/>
        <v>8.1250000000000003E-2</v>
      </c>
      <c r="L15" s="11">
        <f t="shared" si="2"/>
        <v>477</v>
      </c>
      <c r="M15" s="56">
        <f t="shared" si="3"/>
        <v>7.6565008025682182E-2</v>
      </c>
    </row>
    <row r="16" spans="2:26" x14ac:dyDescent="0.2">
      <c r="B16" s="117" t="s">
        <v>34</v>
      </c>
      <c r="C16" s="120">
        <v>0.08</v>
      </c>
      <c r="D16" s="119">
        <v>8.8999999999999996E-2</v>
      </c>
      <c r="F16" s="6" t="s">
        <v>9</v>
      </c>
      <c r="G16" s="9">
        <f>206+150+1</f>
        <v>357</v>
      </c>
      <c r="H16" s="16">
        <f t="shared" si="0"/>
        <v>7.9865771812080544E-2</v>
      </c>
      <c r="I16" s="9">
        <v>156</v>
      </c>
      <c r="J16" s="17">
        <f t="shared" si="1"/>
        <v>8.8636363636363638E-2</v>
      </c>
      <c r="L16" s="11">
        <f t="shared" si="2"/>
        <v>513</v>
      </c>
      <c r="M16" s="56">
        <f t="shared" si="3"/>
        <v>8.234349919743178E-2</v>
      </c>
    </row>
    <row r="17" spans="2:13" x14ac:dyDescent="0.2">
      <c r="B17" s="117" t="s">
        <v>35</v>
      </c>
      <c r="C17" s="120">
        <v>6.6000000000000003E-2</v>
      </c>
      <c r="D17" s="119">
        <v>9.5000000000000001E-2</v>
      </c>
      <c r="F17" s="6" t="s">
        <v>10</v>
      </c>
      <c r="G17" s="9">
        <f>181+113+0</f>
        <v>294</v>
      </c>
      <c r="H17" s="16">
        <f t="shared" si="0"/>
        <v>6.5771812080536909E-2</v>
      </c>
      <c r="I17" s="9">
        <v>167</v>
      </c>
      <c r="J17" s="17">
        <f t="shared" si="1"/>
        <v>9.488636363636363E-2</v>
      </c>
      <c r="L17" s="11">
        <f t="shared" si="2"/>
        <v>461</v>
      </c>
      <c r="M17" s="56">
        <f t="shared" si="3"/>
        <v>7.399678972712681E-2</v>
      </c>
    </row>
    <row r="18" spans="2:13" ht="13.5" thickBot="1" x14ac:dyDescent="0.25">
      <c r="B18" s="121" t="s">
        <v>36</v>
      </c>
      <c r="C18" s="122">
        <v>6.5000000000000002E-2</v>
      </c>
      <c r="D18" s="123">
        <v>7.8E-2</v>
      </c>
      <c r="F18" s="7" t="s">
        <v>11</v>
      </c>
      <c r="G18" s="18">
        <f>174+115+0</f>
        <v>289</v>
      </c>
      <c r="H18" s="19">
        <f t="shared" si="0"/>
        <v>6.4653243847874714E-2</v>
      </c>
      <c r="I18" s="18">
        <v>138</v>
      </c>
      <c r="J18" s="20">
        <f t="shared" si="1"/>
        <v>7.8409090909090914E-2</v>
      </c>
      <c r="L18" s="11">
        <f t="shared" si="2"/>
        <v>427</v>
      </c>
      <c r="M18" s="56">
        <f t="shared" si="3"/>
        <v>6.8539325842696633E-2</v>
      </c>
    </row>
    <row r="19" spans="2:13" ht="14.25" thickTop="1" thickBot="1" x14ac:dyDescent="0.25">
      <c r="B19" s="124"/>
      <c r="C19" s="125">
        <f>SUM(C7:C18)</f>
        <v>0.79799999999999982</v>
      </c>
      <c r="D19" s="126">
        <f>SUM(D7:D18)</f>
        <v>0.79899999999999982</v>
      </c>
      <c r="F19" s="1" t="s">
        <v>104</v>
      </c>
      <c r="H19" s="21">
        <f>SUM(H7:H18)</f>
        <v>0.79664429530201342</v>
      </c>
      <c r="J19" s="21">
        <f>SUM(J7:J18)</f>
        <v>0.79829545454545447</v>
      </c>
    </row>
    <row r="20" spans="2:13" ht="13.5" thickTop="1" x14ac:dyDescent="0.2">
      <c r="F20" s="1" t="s">
        <v>21</v>
      </c>
      <c r="G20" s="11">
        <f>2600+1850+20</f>
        <v>4470</v>
      </c>
      <c r="H20" s="21"/>
      <c r="I20" s="11">
        <v>1760</v>
      </c>
      <c r="J20" s="21"/>
    </row>
    <row r="21" spans="2:13" x14ac:dyDescent="0.2">
      <c r="F21" s="1" t="s">
        <v>103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 t="s">
        <v>69</v>
      </c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 t="s">
        <v>71</v>
      </c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137</v>
      </c>
      <c r="H62" s="14">
        <f>AVERAGE(H7)</f>
        <v>3.0648769574944071E-2</v>
      </c>
      <c r="I62" s="13">
        <f t="shared" ref="I62:I73" si="9">+I7+I25+I43</f>
        <v>39</v>
      </c>
      <c r="J62" s="15">
        <f>+AVERAGE(J7)</f>
        <v>2.215909090909091E-2</v>
      </c>
    </row>
    <row r="63" spans="6:10" x14ac:dyDescent="0.2">
      <c r="F63" s="6" t="s">
        <v>27</v>
      </c>
      <c r="G63" s="9">
        <f t="shared" si="8"/>
        <v>181</v>
      </c>
      <c r="H63" s="16">
        <f>AVERAGE(H8)</f>
        <v>4.0492170022371363E-2</v>
      </c>
      <c r="I63" s="9">
        <f t="shared" si="9"/>
        <v>73</v>
      </c>
      <c r="J63" s="17">
        <f>+AVERAGE(J8)</f>
        <v>4.1477272727272731E-2</v>
      </c>
    </row>
    <row r="64" spans="6:10" x14ac:dyDescent="0.2">
      <c r="F64" s="6" t="s">
        <v>28</v>
      </c>
      <c r="G64" s="9">
        <f t="shared" si="8"/>
        <v>261</v>
      </c>
      <c r="H64" s="16">
        <f t="shared" ref="H64:H72" si="10">AVERAGE(H9)</f>
        <v>5.8389261744966441E-2</v>
      </c>
      <c r="I64" s="9">
        <f t="shared" si="9"/>
        <v>54</v>
      </c>
      <c r="J64" s="17">
        <f t="shared" ref="J64:J72" si="11">+AVERAGE(J9)</f>
        <v>3.0681818181818182E-2</v>
      </c>
    </row>
    <row r="65" spans="6:10" x14ac:dyDescent="0.2">
      <c r="F65" s="6" t="s">
        <v>29</v>
      </c>
      <c r="G65" s="9">
        <f t="shared" si="8"/>
        <v>260</v>
      </c>
      <c r="H65" s="16">
        <f t="shared" si="10"/>
        <v>5.8165548098434001E-2</v>
      </c>
      <c r="I65" s="9">
        <f t="shared" si="9"/>
        <v>79</v>
      </c>
      <c r="J65" s="17">
        <f t="shared" si="11"/>
        <v>4.4886363636363634E-2</v>
      </c>
    </row>
    <row r="66" spans="6:10" x14ac:dyDescent="0.2">
      <c r="F66" s="6" t="s">
        <v>30</v>
      </c>
      <c r="G66" s="9">
        <f t="shared" si="8"/>
        <v>316</v>
      </c>
      <c r="H66" s="16">
        <f t="shared" si="10"/>
        <v>7.0693512304250555E-2</v>
      </c>
      <c r="I66" s="9">
        <f t="shared" si="9"/>
        <v>86</v>
      </c>
      <c r="J66" s="17">
        <f t="shared" si="11"/>
        <v>4.8863636363636366E-2</v>
      </c>
    </row>
    <row r="67" spans="6:10" x14ac:dyDescent="0.2">
      <c r="F67" s="6" t="s">
        <v>37</v>
      </c>
      <c r="G67" s="9">
        <f t="shared" si="8"/>
        <v>298</v>
      </c>
      <c r="H67" s="16">
        <f t="shared" si="10"/>
        <v>6.6666666666666666E-2</v>
      </c>
      <c r="I67" s="9">
        <f t="shared" si="9"/>
        <v>122</v>
      </c>
      <c r="J67" s="17">
        <f t="shared" si="11"/>
        <v>6.931818181818182E-2</v>
      </c>
    </row>
    <row r="68" spans="6:10" x14ac:dyDescent="0.2">
      <c r="F68" s="6" t="s">
        <v>31</v>
      </c>
      <c r="G68" s="9">
        <f t="shared" si="8"/>
        <v>449</v>
      </c>
      <c r="H68" s="16">
        <f t="shared" si="10"/>
        <v>0.10044742729306488</v>
      </c>
      <c r="I68" s="9">
        <f t="shared" si="9"/>
        <v>172</v>
      </c>
      <c r="J68" s="17">
        <f t="shared" si="11"/>
        <v>9.7727272727272732E-2</v>
      </c>
    </row>
    <row r="69" spans="6:10" x14ac:dyDescent="0.2">
      <c r="F69" s="6" t="s">
        <v>32</v>
      </c>
      <c r="G69" s="9">
        <f t="shared" si="8"/>
        <v>385</v>
      </c>
      <c r="H69" s="16">
        <f t="shared" si="10"/>
        <v>8.612975391498881E-2</v>
      </c>
      <c r="I69" s="9">
        <f t="shared" si="9"/>
        <v>176</v>
      </c>
      <c r="J69" s="17">
        <f t="shared" si="11"/>
        <v>0.1</v>
      </c>
    </row>
    <row r="70" spans="6:10" x14ac:dyDescent="0.2">
      <c r="F70" s="6" t="s">
        <v>33</v>
      </c>
      <c r="G70" s="9">
        <f t="shared" si="8"/>
        <v>334</v>
      </c>
      <c r="H70" s="16">
        <f t="shared" si="10"/>
        <v>7.4720357941834459E-2</v>
      </c>
      <c r="I70" s="9">
        <f t="shared" si="9"/>
        <v>143</v>
      </c>
      <c r="J70" s="17">
        <f t="shared" si="11"/>
        <v>8.1250000000000003E-2</v>
      </c>
    </row>
    <row r="71" spans="6:10" x14ac:dyDescent="0.2">
      <c r="F71" s="6" t="s">
        <v>34</v>
      </c>
      <c r="G71" s="9">
        <f t="shared" si="8"/>
        <v>357</v>
      </c>
      <c r="H71" s="16">
        <f t="shared" si="10"/>
        <v>7.9865771812080544E-2</v>
      </c>
      <c r="I71" s="9">
        <f t="shared" si="9"/>
        <v>156</v>
      </c>
      <c r="J71" s="17">
        <f t="shared" si="11"/>
        <v>8.8636363636363638E-2</v>
      </c>
    </row>
    <row r="72" spans="6:10" x14ac:dyDescent="0.2">
      <c r="F72" s="6" t="s">
        <v>35</v>
      </c>
      <c r="G72" s="9">
        <f t="shared" si="8"/>
        <v>294</v>
      </c>
      <c r="H72" s="16">
        <f t="shared" si="10"/>
        <v>6.5771812080536909E-2</v>
      </c>
      <c r="I72" s="9">
        <f t="shared" si="9"/>
        <v>167</v>
      </c>
      <c r="J72" s="17">
        <f t="shared" si="11"/>
        <v>9.488636363636363E-2</v>
      </c>
    </row>
    <row r="73" spans="6:10" ht="13.5" thickBot="1" x14ac:dyDescent="0.25">
      <c r="F73" s="7" t="s">
        <v>36</v>
      </c>
      <c r="G73" s="18">
        <f t="shared" si="8"/>
        <v>289</v>
      </c>
      <c r="H73" s="65">
        <f>AVERAGE(H18)</f>
        <v>6.4653243847874714E-2</v>
      </c>
      <c r="I73" s="18">
        <f t="shared" si="9"/>
        <v>138</v>
      </c>
      <c r="J73" s="20">
        <f>+AVERAGE(J18)</f>
        <v>7.8409090909090914E-2</v>
      </c>
    </row>
    <row r="74" spans="6:10" ht="13.5" thickTop="1" x14ac:dyDescent="0.2">
      <c r="F74" s="12" t="s">
        <v>25</v>
      </c>
      <c r="H74" s="21">
        <f>SUM(H62:H73)</f>
        <v>0.79664429530201342</v>
      </c>
      <c r="J74" s="21">
        <f>SUM(J62:J73)</f>
        <v>0.79829545454545447</v>
      </c>
    </row>
    <row r="75" spans="6:10" x14ac:dyDescent="0.2">
      <c r="F75" s="1" t="s">
        <v>21</v>
      </c>
      <c r="G75" s="64">
        <f>AVERAGE(G20,G38,G56)</f>
        <v>4470</v>
      </c>
      <c r="H75" s="21"/>
      <c r="I75" s="11">
        <f>AVERAGE(I20,I38,I56)</f>
        <v>1760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2487-E765-4694-A27C-CBC88603AB31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271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1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58" t="s">
        <v>39</v>
      </c>
    </row>
    <row r="7" spans="2:26" x14ac:dyDescent="0.2">
      <c r="B7" s="114" t="s">
        <v>26</v>
      </c>
      <c r="C7" s="162">
        <v>1.6300000000000002E-2</v>
      </c>
      <c r="D7" s="163">
        <v>1.1900000000000001E-2</v>
      </c>
      <c r="E7" s="162">
        <v>1.06E-2</v>
      </c>
      <c r="F7" s="163">
        <v>7.1000000000000004E-3</v>
      </c>
      <c r="G7" s="162" t="s">
        <v>272</v>
      </c>
      <c r="H7" s="163" t="s">
        <v>272</v>
      </c>
    </row>
    <row r="8" spans="2:26" x14ac:dyDescent="0.2">
      <c r="B8" s="117" t="s">
        <v>27</v>
      </c>
      <c r="C8" s="149">
        <v>4.2300000000000004E-2</v>
      </c>
      <c r="D8" s="166">
        <v>2.8500000000000001E-2</v>
      </c>
      <c r="E8" s="149">
        <v>3.3700000000000001E-2</v>
      </c>
      <c r="F8" s="166">
        <v>2.0900000000000002E-2</v>
      </c>
      <c r="G8" s="149" t="s">
        <v>272</v>
      </c>
      <c r="H8" s="166" t="s">
        <v>272</v>
      </c>
    </row>
    <row r="9" spans="2:26" x14ac:dyDescent="0.2">
      <c r="B9" s="117" t="s">
        <v>28</v>
      </c>
      <c r="C9" s="149">
        <v>6.2600000000000003E-2</v>
      </c>
      <c r="D9" s="166">
        <v>4.9700000000000001E-2</v>
      </c>
      <c r="E9" s="149">
        <v>5.6900000000000006E-2</v>
      </c>
      <c r="F9" s="166">
        <v>4.1399999999999999E-2</v>
      </c>
      <c r="G9" s="149">
        <v>5.45E-2</v>
      </c>
      <c r="H9" s="166">
        <v>3.2000000000000001E-2</v>
      </c>
    </row>
    <row r="10" spans="2:26" x14ac:dyDescent="0.2">
      <c r="B10" s="117" t="s">
        <v>29</v>
      </c>
      <c r="C10" s="149">
        <v>7.1199999999999999E-2</v>
      </c>
      <c r="D10" s="166">
        <v>6.5100000000000005E-2</v>
      </c>
      <c r="E10" s="149">
        <v>6.93E-2</v>
      </c>
      <c r="F10" s="166">
        <v>6.0000000000000005E-2</v>
      </c>
      <c r="G10" s="149">
        <v>6.8199999999999997E-2</v>
      </c>
      <c r="H10" s="166">
        <v>6.1500000000000006E-2</v>
      </c>
    </row>
    <row r="11" spans="2:26" x14ac:dyDescent="0.2">
      <c r="B11" s="117" t="s">
        <v>30</v>
      </c>
      <c r="C11" s="149">
        <v>7.7300000000000008E-2</v>
      </c>
      <c r="D11" s="166">
        <v>7.5800000000000006E-2</v>
      </c>
      <c r="E11" s="149">
        <v>8.9400000000000007E-2</v>
      </c>
      <c r="F11" s="166">
        <v>7.3300000000000004E-2</v>
      </c>
      <c r="G11" s="149">
        <v>9.0900000000000009E-2</v>
      </c>
      <c r="H11" s="166">
        <v>7.5600000000000001E-2</v>
      </c>
    </row>
    <row r="12" spans="2:26" x14ac:dyDescent="0.2">
      <c r="B12" s="117" t="s">
        <v>37</v>
      </c>
      <c r="C12" s="149">
        <v>8.6300000000000002E-2</v>
      </c>
      <c r="D12" s="166">
        <v>7.5800000000000006E-2</v>
      </c>
      <c r="E12" s="149">
        <v>8.9099999999999999E-2</v>
      </c>
      <c r="F12" s="166">
        <v>8.5000000000000006E-2</v>
      </c>
      <c r="G12" s="149">
        <v>9.6300000000000011E-2</v>
      </c>
      <c r="H12" s="166">
        <v>9.9900000000000003E-2</v>
      </c>
    </row>
    <row r="13" spans="2:26" x14ac:dyDescent="0.2">
      <c r="B13" s="117" t="s">
        <v>31</v>
      </c>
      <c r="C13" s="149">
        <v>9.0300000000000005E-2</v>
      </c>
      <c r="D13" s="166">
        <v>7.9000000000000001E-2</v>
      </c>
      <c r="E13" s="149">
        <v>8.1700000000000009E-2</v>
      </c>
      <c r="F13" s="166">
        <v>9.0500000000000011E-2</v>
      </c>
      <c r="G13" s="149">
        <v>0.1168</v>
      </c>
      <c r="H13" s="166">
        <v>0.1154</v>
      </c>
    </row>
    <row r="14" spans="2:26" x14ac:dyDescent="0.2">
      <c r="B14" s="117" t="s">
        <v>32</v>
      </c>
      <c r="C14" s="149">
        <v>8.3400000000000002E-2</v>
      </c>
      <c r="D14" s="166">
        <v>8.6400000000000005E-2</v>
      </c>
      <c r="E14" s="149">
        <v>8.660000000000001E-2</v>
      </c>
      <c r="F14" s="166">
        <v>8.3400000000000002E-2</v>
      </c>
      <c r="G14" s="149">
        <v>0.12000000000000001</v>
      </c>
      <c r="H14" s="166">
        <v>0.11750000000000001</v>
      </c>
    </row>
    <row r="15" spans="2:26" x14ac:dyDescent="0.2">
      <c r="B15" s="117" t="s">
        <v>33</v>
      </c>
      <c r="C15" s="149">
        <v>6.9900000000000004E-2</v>
      </c>
      <c r="D15" s="166">
        <v>7.7600000000000002E-2</v>
      </c>
      <c r="E15" s="149">
        <v>9.2100000000000001E-2</v>
      </c>
      <c r="F15" s="166">
        <v>8.6800000000000002E-2</v>
      </c>
      <c r="G15" s="149">
        <v>0.1114</v>
      </c>
      <c r="H15" s="166">
        <v>0.10920000000000001</v>
      </c>
    </row>
    <row r="16" spans="2:26" x14ac:dyDescent="0.2">
      <c r="B16" s="117" t="s">
        <v>34</v>
      </c>
      <c r="C16" s="149">
        <v>7.5600000000000001E-2</v>
      </c>
      <c r="D16" s="166">
        <v>7.4099999999999999E-2</v>
      </c>
      <c r="E16" s="149">
        <v>7.8700000000000006E-2</v>
      </c>
      <c r="F16" s="166">
        <v>9.3400000000000011E-2</v>
      </c>
      <c r="G16" s="149">
        <v>0.10600000000000001</v>
      </c>
      <c r="H16" s="166">
        <v>0.108</v>
      </c>
    </row>
    <row r="17" spans="2:8" x14ac:dyDescent="0.2">
      <c r="B17" s="117" t="s">
        <v>35</v>
      </c>
      <c r="C17" s="149">
        <v>6.8699999999999997E-2</v>
      </c>
      <c r="D17" s="166">
        <v>7.3099999999999998E-2</v>
      </c>
      <c r="E17" s="149">
        <v>7.4900000000000008E-2</v>
      </c>
      <c r="F17" s="166">
        <v>8.9400000000000007E-2</v>
      </c>
      <c r="G17" s="149">
        <v>8.900000000000001E-2</v>
      </c>
      <c r="H17" s="166">
        <v>0.10010000000000001</v>
      </c>
    </row>
    <row r="18" spans="2:8" x14ac:dyDescent="0.2">
      <c r="B18" s="117" t="s">
        <v>36</v>
      </c>
      <c r="C18" s="149">
        <v>6.3899999999999998E-2</v>
      </c>
      <c r="D18" s="166">
        <v>7.3800000000000004E-2</v>
      </c>
      <c r="E18" s="149">
        <v>7.5499999999999998E-2</v>
      </c>
      <c r="F18" s="166">
        <v>7.3800000000000004E-2</v>
      </c>
      <c r="G18" s="149">
        <v>7.85E-2</v>
      </c>
      <c r="H18" s="166">
        <v>9.1300000000000006E-2</v>
      </c>
    </row>
    <row r="19" spans="2:8" x14ac:dyDescent="0.2">
      <c r="B19" s="159" t="s">
        <v>141</v>
      </c>
      <c r="C19" s="149">
        <v>6.2400000000000004E-2</v>
      </c>
      <c r="D19" s="166">
        <v>7.0300000000000001E-2</v>
      </c>
      <c r="E19" s="149">
        <v>6.3E-2</v>
      </c>
      <c r="F19" s="166">
        <v>6.720000000000001E-2</v>
      </c>
      <c r="G19" s="149">
        <v>6.2300000000000001E-2</v>
      </c>
      <c r="H19" s="166">
        <v>8.5800000000000001E-2</v>
      </c>
    </row>
    <row r="20" spans="2:8" x14ac:dyDescent="0.2">
      <c r="B20" s="157" t="s">
        <v>142</v>
      </c>
      <c r="C20" s="149">
        <v>6.0000000000000005E-2</v>
      </c>
      <c r="D20" s="166">
        <v>6.9100000000000009E-2</v>
      </c>
      <c r="E20" s="149">
        <v>4.4700000000000004E-2</v>
      </c>
      <c r="F20" s="166">
        <v>5.5900000000000005E-2</v>
      </c>
      <c r="G20" s="149" t="s">
        <v>272</v>
      </c>
      <c r="H20" s="166" t="s">
        <v>272</v>
      </c>
    </row>
    <row r="21" spans="2:8" x14ac:dyDescent="0.2">
      <c r="B21" s="157" t="s">
        <v>160</v>
      </c>
      <c r="C21" s="149">
        <v>5.0200000000000002E-2</v>
      </c>
      <c r="D21" s="166">
        <v>5.4300000000000001E-2</v>
      </c>
      <c r="E21" s="149">
        <v>3.7999999999999999E-2</v>
      </c>
      <c r="F21" s="166">
        <v>4.19E-2</v>
      </c>
      <c r="G21" s="149" t="s">
        <v>272</v>
      </c>
      <c r="H21" s="166" t="s">
        <v>272</v>
      </c>
    </row>
    <row r="22" spans="2:8" x14ac:dyDescent="0.2">
      <c r="B22" s="157" t="s">
        <v>161</v>
      </c>
      <c r="C22" s="149">
        <v>2.3800000000000002E-2</v>
      </c>
      <c r="D22" s="166">
        <v>3.8800000000000001E-2</v>
      </c>
      <c r="E22" s="149">
        <v>1.7899999999999999E-2</v>
      </c>
      <c r="F22" s="166">
        <v>3.2100000000000004E-2</v>
      </c>
      <c r="G22" s="149" t="s">
        <v>272</v>
      </c>
      <c r="H22" s="166" t="s">
        <v>272</v>
      </c>
    </row>
    <row r="23" spans="2:8" ht="13.5" thickBot="1" x14ac:dyDescent="0.25">
      <c r="B23" s="160" t="s">
        <v>186</v>
      </c>
      <c r="C23" s="150" t="s">
        <v>272</v>
      </c>
      <c r="D23" s="168" t="s">
        <v>272</v>
      </c>
      <c r="E23" s="150" t="s">
        <v>272</v>
      </c>
      <c r="F23" s="168" t="s">
        <v>272</v>
      </c>
      <c r="G23" s="150" t="s">
        <v>272</v>
      </c>
      <c r="H23" s="168" t="s">
        <v>272</v>
      </c>
    </row>
    <row r="24" spans="2:8" ht="13.5" thickBot="1" x14ac:dyDescent="0.25">
      <c r="B24" s="142"/>
      <c r="C24" s="143">
        <f>SUM(C7:C23)</f>
        <v>1.0042</v>
      </c>
      <c r="D24" s="161">
        <f t="shared" ref="D24:F24" si="0">SUM(D7:D23)</f>
        <v>1.0033000000000001</v>
      </c>
      <c r="E24" s="143">
        <f>SUM(E7:E23)</f>
        <v>1.0021</v>
      </c>
      <c r="F24" s="161">
        <f t="shared" si="0"/>
        <v>1.0021000000000002</v>
      </c>
      <c r="G24" s="143">
        <f>SUM(G7:G23)</f>
        <v>0.99390000000000012</v>
      </c>
      <c r="H24" s="161">
        <f t="shared" ref="H24" si="1">SUM(H7:H23)</f>
        <v>0.99629999999999996</v>
      </c>
    </row>
    <row r="25" spans="2:8" ht="13.5" thickTop="1" x14ac:dyDescent="0.2"/>
    <row r="27" spans="2:8" x14ac:dyDescent="0.2">
      <c r="B27" s="154" t="s">
        <v>238</v>
      </c>
    </row>
    <row r="28" spans="2:8" x14ac:dyDescent="0.2">
      <c r="B28" s="154" t="s">
        <v>266</v>
      </c>
    </row>
    <row r="29" spans="2:8" x14ac:dyDescent="0.2">
      <c r="B29" s="154" t="s">
        <v>273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144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1.9E-2</v>
      </c>
      <c r="D7" s="116">
        <v>8.0000000000000002E-3</v>
      </c>
      <c r="F7" s="8" t="s">
        <v>12</v>
      </c>
      <c r="G7" s="13">
        <f>8+17+6</f>
        <v>31</v>
      </c>
      <c r="H7" s="14">
        <f t="shared" ref="H7:H18" si="0">G7/$G$20</f>
        <v>1.9745222929936305E-2</v>
      </c>
      <c r="I7" s="13">
        <v>11</v>
      </c>
      <c r="J7" s="15">
        <f t="shared" ref="J7:J18" si="1">I7/$I$20</f>
        <v>1.1111111111111112E-2</v>
      </c>
      <c r="L7" s="11">
        <f t="shared" ref="L7:L18" si="2">+G7+I7</f>
        <v>42</v>
      </c>
      <c r="M7" s="56">
        <f t="shared" ref="M7:M18" si="3">+L7/($G$20+$I$20)</f>
        <v>1.6406250000000001E-2</v>
      </c>
    </row>
    <row r="8" spans="2:26" x14ac:dyDescent="0.2">
      <c r="B8" s="117" t="s">
        <v>27</v>
      </c>
      <c r="C8" s="118">
        <v>3.5000000000000003E-2</v>
      </c>
      <c r="D8" s="119">
        <v>1.4999999999999999E-2</v>
      </c>
      <c r="F8" s="6" t="s">
        <v>1</v>
      </c>
      <c r="G8" s="9">
        <f>20+50+2</f>
        <v>72</v>
      </c>
      <c r="H8" s="16">
        <f t="shared" si="0"/>
        <v>4.5859872611464965E-2</v>
      </c>
      <c r="I8" s="9">
        <v>16</v>
      </c>
      <c r="J8" s="17">
        <f t="shared" si="1"/>
        <v>1.6161616161616162E-2</v>
      </c>
      <c r="L8" s="11">
        <f t="shared" si="2"/>
        <v>88</v>
      </c>
      <c r="M8" s="56">
        <f t="shared" si="3"/>
        <v>3.4375000000000003E-2</v>
      </c>
    </row>
    <row r="9" spans="2:26" x14ac:dyDescent="0.2">
      <c r="B9" s="117" t="s">
        <v>28</v>
      </c>
      <c r="C9" s="120">
        <v>4.9000000000000002E-2</v>
      </c>
      <c r="D9" s="119">
        <v>3.5000000000000003E-2</v>
      </c>
      <c r="F9" s="6" t="s">
        <v>2</v>
      </c>
      <c r="G9" s="9">
        <f>34+50+2</f>
        <v>86</v>
      </c>
      <c r="H9" s="16">
        <f t="shared" si="0"/>
        <v>5.4777070063694269E-2</v>
      </c>
      <c r="I9" s="9">
        <v>35</v>
      </c>
      <c r="J9" s="17">
        <f t="shared" si="1"/>
        <v>3.5353535353535352E-2</v>
      </c>
      <c r="L9" s="11">
        <f t="shared" si="2"/>
        <v>121</v>
      </c>
      <c r="M9" s="56">
        <f t="shared" si="3"/>
        <v>4.7265624999999999E-2</v>
      </c>
    </row>
    <row r="10" spans="2:26" x14ac:dyDescent="0.2">
      <c r="B10" s="117" t="s">
        <v>29</v>
      </c>
      <c r="C10" s="120">
        <v>5.3999999999999999E-2</v>
      </c>
      <c r="D10" s="119">
        <v>5.6000000000000001E-2</v>
      </c>
      <c r="F10" s="6" t="s">
        <v>3</v>
      </c>
      <c r="G10" s="9">
        <f>21+51+1</f>
        <v>73</v>
      </c>
      <c r="H10" s="16">
        <f t="shared" si="0"/>
        <v>4.64968152866242E-2</v>
      </c>
      <c r="I10" s="9">
        <v>47</v>
      </c>
      <c r="J10" s="17">
        <f t="shared" si="1"/>
        <v>4.7474747474747475E-2</v>
      </c>
      <c r="L10" s="11">
        <f t="shared" si="2"/>
        <v>120</v>
      </c>
      <c r="M10" s="56">
        <f t="shared" si="3"/>
        <v>4.6875E-2</v>
      </c>
    </row>
    <row r="11" spans="2:26" x14ac:dyDescent="0.2">
      <c r="B11" s="117" t="s">
        <v>30</v>
      </c>
      <c r="C11" s="120">
        <v>6.6000000000000003E-2</v>
      </c>
      <c r="D11" s="119">
        <v>6.4000000000000001E-2</v>
      </c>
      <c r="F11" s="6" t="s">
        <v>4</v>
      </c>
      <c r="G11" s="9">
        <f>25+51+3</f>
        <v>79</v>
      </c>
      <c r="H11" s="16">
        <f t="shared" si="0"/>
        <v>5.0318471337579621E-2</v>
      </c>
      <c r="I11" s="9">
        <v>61</v>
      </c>
      <c r="J11" s="17">
        <f t="shared" si="1"/>
        <v>6.1616161616161617E-2</v>
      </c>
      <c r="L11" s="11">
        <f t="shared" si="2"/>
        <v>140</v>
      </c>
      <c r="M11" s="56">
        <f t="shared" si="3"/>
        <v>5.46875E-2</v>
      </c>
    </row>
    <row r="12" spans="2:26" x14ac:dyDescent="0.2">
      <c r="B12" s="117" t="s">
        <v>37</v>
      </c>
      <c r="C12" s="120">
        <v>9.2999999999999999E-2</v>
      </c>
      <c r="D12" s="119">
        <v>7.6999999999999999E-2</v>
      </c>
      <c r="F12" s="6" t="s">
        <v>5</v>
      </c>
      <c r="G12" s="9">
        <f>69+75+4</f>
        <v>148</v>
      </c>
      <c r="H12" s="16">
        <f t="shared" si="0"/>
        <v>9.4267515923566886E-2</v>
      </c>
      <c r="I12" s="9">
        <v>69</v>
      </c>
      <c r="J12" s="17">
        <f t="shared" si="1"/>
        <v>6.9696969696969702E-2</v>
      </c>
      <c r="L12" s="11">
        <f t="shared" si="2"/>
        <v>217</v>
      </c>
      <c r="M12" s="56">
        <f t="shared" si="3"/>
        <v>8.4765624999999997E-2</v>
      </c>
    </row>
    <row r="13" spans="2:26" x14ac:dyDescent="0.2">
      <c r="B13" s="117" t="s">
        <v>31</v>
      </c>
      <c r="C13" s="120">
        <v>0.105</v>
      </c>
      <c r="D13" s="119">
        <v>0.114</v>
      </c>
      <c r="F13" s="6" t="s">
        <v>6</v>
      </c>
      <c r="G13" s="9">
        <f>84+84+6</f>
        <v>174</v>
      </c>
      <c r="H13" s="16">
        <f t="shared" si="0"/>
        <v>0.11082802547770701</v>
      </c>
      <c r="I13" s="9">
        <v>109</v>
      </c>
      <c r="J13" s="17">
        <f t="shared" si="1"/>
        <v>0.1101010101010101</v>
      </c>
      <c r="L13" s="11">
        <f t="shared" si="2"/>
        <v>283</v>
      </c>
      <c r="M13" s="56">
        <f t="shared" si="3"/>
        <v>0.110546875</v>
      </c>
    </row>
    <row r="14" spans="2:26" x14ac:dyDescent="0.2">
      <c r="B14" s="117" t="s">
        <v>32</v>
      </c>
      <c r="C14" s="120">
        <v>0.08</v>
      </c>
      <c r="D14" s="119">
        <v>0.10199999999999999</v>
      </c>
      <c r="F14" s="6" t="s">
        <v>7</v>
      </c>
      <c r="G14" s="9">
        <f>43+80+3</f>
        <v>126</v>
      </c>
      <c r="H14" s="16">
        <f t="shared" si="0"/>
        <v>8.025477707006369E-2</v>
      </c>
      <c r="I14" s="9">
        <v>103</v>
      </c>
      <c r="J14" s="17">
        <f t="shared" si="1"/>
        <v>0.10404040404040404</v>
      </c>
      <c r="L14" s="11">
        <f t="shared" si="2"/>
        <v>229</v>
      </c>
      <c r="M14" s="56">
        <f t="shared" si="3"/>
        <v>8.9453124999999994E-2</v>
      </c>
    </row>
    <row r="15" spans="2:26" x14ac:dyDescent="0.2">
      <c r="B15" s="117" t="s">
        <v>33</v>
      </c>
      <c r="C15" s="120">
        <v>7.6999999999999999E-2</v>
      </c>
      <c r="D15" s="119">
        <v>6.8000000000000005E-2</v>
      </c>
      <c r="F15" s="6" t="s">
        <v>8</v>
      </c>
      <c r="G15" s="9">
        <f>46+69+7</f>
        <v>122</v>
      </c>
      <c r="H15" s="16">
        <f t="shared" si="0"/>
        <v>7.7707006369426748E-2</v>
      </c>
      <c r="I15" s="9">
        <v>74</v>
      </c>
      <c r="J15" s="17">
        <f t="shared" si="1"/>
        <v>7.4747474747474743E-2</v>
      </c>
      <c r="L15" s="11">
        <f t="shared" si="2"/>
        <v>196</v>
      </c>
      <c r="M15" s="56">
        <f t="shared" si="3"/>
        <v>7.6562500000000006E-2</v>
      </c>
    </row>
    <row r="16" spans="2:26" x14ac:dyDescent="0.2">
      <c r="B16" s="117" t="s">
        <v>34</v>
      </c>
      <c r="C16" s="120">
        <v>6.2E-2</v>
      </c>
      <c r="D16" s="119">
        <v>7.6999999999999999E-2</v>
      </c>
      <c r="F16" s="6" t="s">
        <v>9</v>
      </c>
      <c r="G16" s="9">
        <f>30+45+3</f>
        <v>78</v>
      </c>
      <c r="H16" s="16">
        <f t="shared" si="0"/>
        <v>4.9681528662420385E-2</v>
      </c>
      <c r="I16" s="9">
        <v>62</v>
      </c>
      <c r="J16" s="17">
        <f t="shared" si="1"/>
        <v>6.2626262626262627E-2</v>
      </c>
      <c r="L16" s="11">
        <f t="shared" si="2"/>
        <v>140</v>
      </c>
      <c r="M16" s="56">
        <f t="shared" si="3"/>
        <v>5.46875E-2</v>
      </c>
    </row>
    <row r="17" spans="2:13" x14ac:dyDescent="0.2">
      <c r="B17" s="117" t="s">
        <v>35</v>
      </c>
      <c r="C17" s="120">
        <v>6.5000000000000002E-2</v>
      </c>
      <c r="D17" s="119">
        <v>7.2999999999999995E-2</v>
      </c>
      <c r="F17" s="6" t="s">
        <v>10</v>
      </c>
      <c r="G17" s="9">
        <f>37+62+3</f>
        <v>102</v>
      </c>
      <c r="H17" s="16">
        <f t="shared" si="0"/>
        <v>6.4968152866242038E-2</v>
      </c>
      <c r="I17" s="9">
        <v>69</v>
      </c>
      <c r="J17" s="17">
        <f t="shared" si="1"/>
        <v>6.9696969696969702E-2</v>
      </c>
      <c r="L17" s="11">
        <f t="shared" si="2"/>
        <v>171</v>
      </c>
      <c r="M17" s="56">
        <f t="shared" si="3"/>
        <v>6.6796875000000006E-2</v>
      </c>
    </row>
    <row r="18" spans="2:13" ht="13.5" thickBot="1" x14ac:dyDescent="0.25">
      <c r="B18" s="121" t="s">
        <v>36</v>
      </c>
      <c r="C18" s="122">
        <v>7.3999999999999996E-2</v>
      </c>
      <c r="D18" s="123">
        <v>8.5000000000000006E-2</v>
      </c>
      <c r="F18" s="7" t="s">
        <v>11</v>
      </c>
      <c r="G18" s="18">
        <f>63+55+7</f>
        <v>125</v>
      </c>
      <c r="H18" s="19">
        <f t="shared" si="0"/>
        <v>7.9617834394904455E-2</v>
      </c>
      <c r="I18" s="18">
        <v>103</v>
      </c>
      <c r="J18" s="20">
        <f t="shared" si="1"/>
        <v>0.10404040404040404</v>
      </c>
      <c r="L18" s="11">
        <f t="shared" si="2"/>
        <v>228</v>
      </c>
      <c r="M18" s="56">
        <f t="shared" si="3"/>
        <v>8.9062500000000003E-2</v>
      </c>
    </row>
    <row r="19" spans="2:13" ht="14.25" thickTop="1" thickBot="1" x14ac:dyDescent="0.25">
      <c r="B19" s="124"/>
      <c r="C19" s="125">
        <f>SUM(C7:C18)</f>
        <v>0.7789999999999998</v>
      </c>
      <c r="D19" s="126">
        <f>SUM(D7:D18)</f>
        <v>0.7739999999999998</v>
      </c>
      <c r="F19" s="1" t="s">
        <v>125</v>
      </c>
      <c r="H19" s="21">
        <f>SUM(H7:H18)</f>
        <v>0.77452229299363051</v>
      </c>
      <c r="J19" s="21">
        <f>SUM(J7:J18)</f>
        <v>0.76666666666666661</v>
      </c>
    </row>
    <row r="20" spans="2:13" ht="13.5" thickTop="1" x14ac:dyDescent="0.2">
      <c r="F20" s="1" t="s">
        <v>21</v>
      </c>
      <c r="G20" s="11">
        <f>620+890+60</f>
        <v>1570</v>
      </c>
      <c r="H20" s="21"/>
      <c r="I20" s="11">
        <v>990</v>
      </c>
      <c r="J20" s="21"/>
    </row>
    <row r="21" spans="2:13" x14ac:dyDescent="0.2">
      <c r="F21" s="1" t="s">
        <v>126</v>
      </c>
      <c r="H21" s="21"/>
      <c r="J21" s="21" t="s">
        <v>143</v>
      </c>
    </row>
    <row r="22" spans="2:13" ht="13.5" thickBot="1" x14ac:dyDescent="0.25">
      <c r="B22" s="66" t="s">
        <v>169</v>
      </c>
      <c r="F22" s="1"/>
    </row>
    <row r="23" spans="2:13" ht="13.5" thickTop="1" x14ac:dyDescent="0.2">
      <c r="F23" s="2"/>
      <c r="G23" s="243" t="s">
        <v>135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0+3+24</f>
        <v>27</v>
      </c>
      <c r="H25" s="14">
        <f>G25/G38</f>
        <v>1.8854748603351956E-2</v>
      </c>
      <c r="I25" s="13">
        <v>6</v>
      </c>
      <c r="J25" s="15">
        <f>I25/I38</f>
        <v>4.9180327868852463E-3</v>
      </c>
    </row>
    <row r="26" spans="2:13" x14ac:dyDescent="0.2">
      <c r="F26" s="6" t="s">
        <v>1</v>
      </c>
      <c r="G26" s="9">
        <f>0+11+24</f>
        <v>35</v>
      </c>
      <c r="H26" s="16">
        <f t="shared" ref="H26:H36" si="4">G26/$G$38</f>
        <v>2.4441340782122904E-2</v>
      </c>
      <c r="I26" s="9">
        <v>16</v>
      </c>
      <c r="J26" s="17">
        <f t="shared" ref="J26:J36" si="5">I26/$I$38</f>
        <v>1.3114754098360656E-2</v>
      </c>
    </row>
    <row r="27" spans="2:13" x14ac:dyDescent="0.2">
      <c r="F27" s="6" t="s">
        <v>2</v>
      </c>
      <c r="G27" s="9">
        <f>0+20+43</f>
        <v>63</v>
      </c>
      <c r="H27" s="16">
        <f t="shared" si="4"/>
        <v>4.3994413407821231E-2</v>
      </c>
      <c r="I27" s="9">
        <v>42</v>
      </c>
      <c r="J27" s="17">
        <f t="shared" si="5"/>
        <v>3.4426229508196723E-2</v>
      </c>
    </row>
    <row r="28" spans="2:13" x14ac:dyDescent="0.2">
      <c r="F28" s="6" t="s">
        <v>3</v>
      </c>
      <c r="G28" s="9">
        <f>0+16+72</f>
        <v>88</v>
      </c>
      <c r="H28" s="16">
        <f t="shared" si="4"/>
        <v>6.1452513966480445E-2</v>
      </c>
      <c r="I28" s="9">
        <v>78</v>
      </c>
      <c r="J28" s="17">
        <f t="shared" si="5"/>
        <v>6.3934426229508193E-2</v>
      </c>
    </row>
    <row r="29" spans="2:13" x14ac:dyDescent="0.2">
      <c r="F29" s="6" t="s">
        <v>4</v>
      </c>
      <c r="G29" s="9">
        <f>0+35+82</f>
        <v>117</v>
      </c>
      <c r="H29" s="16">
        <f t="shared" si="4"/>
        <v>8.1703910614525144E-2</v>
      </c>
      <c r="I29" s="9">
        <v>82</v>
      </c>
      <c r="J29" s="17">
        <f t="shared" si="5"/>
        <v>6.7213114754098358E-2</v>
      </c>
    </row>
    <row r="30" spans="2:13" x14ac:dyDescent="0.2">
      <c r="F30" s="6" t="s">
        <v>5</v>
      </c>
      <c r="G30" s="9">
        <f>0+39+91</f>
        <v>130</v>
      </c>
      <c r="H30" s="16">
        <f t="shared" si="4"/>
        <v>9.0782122905027934E-2</v>
      </c>
      <c r="I30" s="9">
        <v>103</v>
      </c>
      <c r="J30" s="17">
        <f t="shared" si="5"/>
        <v>8.4426229508196726E-2</v>
      </c>
    </row>
    <row r="31" spans="2:13" x14ac:dyDescent="0.2">
      <c r="F31" s="6" t="s">
        <v>6</v>
      </c>
      <c r="G31" s="9">
        <f>2+44+95</f>
        <v>141</v>
      </c>
      <c r="H31" s="16">
        <f t="shared" si="4"/>
        <v>9.8463687150837989E-2</v>
      </c>
      <c r="I31" s="9">
        <v>143</v>
      </c>
      <c r="J31" s="17">
        <f t="shared" si="5"/>
        <v>0.11721311475409836</v>
      </c>
    </row>
    <row r="32" spans="2:13" x14ac:dyDescent="0.2">
      <c r="F32" s="6" t="s">
        <v>7</v>
      </c>
      <c r="G32" s="9">
        <f>0+36+79</f>
        <v>115</v>
      </c>
      <c r="H32" s="16">
        <f t="shared" si="4"/>
        <v>8.0307262569832408E-2</v>
      </c>
      <c r="I32" s="9">
        <v>122</v>
      </c>
      <c r="J32" s="17">
        <f t="shared" si="5"/>
        <v>0.1</v>
      </c>
    </row>
    <row r="33" spans="6:10" x14ac:dyDescent="0.2">
      <c r="F33" s="6" t="s">
        <v>8</v>
      </c>
      <c r="G33" s="9">
        <f>0+30+80</f>
        <v>110</v>
      </c>
      <c r="H33" s="16">
        <f t="shared" si="4"/>
        <v>7.6815642458100561E-2</v>
      </c>
      <c r="I33" s="9">
        <v>75</v>
      </c>
      <c r="J33" s="17">
        <f t="shared" si="5"/>
        <v>6.1475409836065573E-2</v>
      </c>
    </row>
    <row r="34" spans="6:10" x14ac:dyDescent="0.2">
      <c r="F34" s="6" t="s">
        <v>9</v>
      </c>
      <c r="G34" s="9">
        <f>0+38+68</f>
        <v>106</v>
      </c>
      <c r="H34" s="16">
        <f t="shared" si="4"/>
        <v>7.4022346368715089E-2</v>
      </c>
      <c r="I34" s="9">
        <v>111</v>
      </c>
      <c r="J34" s="17">
        <f t="shared" si="5"/>
        <v>9.0983606557377056E-2</v>
      </c>
    </row>
    <row r="35" spans="6:10" x14ac:dyDescent="0.2">
      <c r="F35" s="6" t="s">
        <v>10</v>
      </c>
      <c r="G35" s="9">
        <f>0+28+65</f>
        <v>93</v>
      </c>
      <c r="H35" s="16">
        <f t="shared" si="4"/>
        <v>6.4944134078212284E-2</v>
      </c>
      <c r="I35" s="9">
        <v>94</v>
      </c>
      <c r="J35" s="17">
        <f t="shared" si="5"/>
        <v>7.7049180327868852E-2</v>
      </c>
    </row>
    <row r="36" spans="6:10" ht="13.5" thickBot="1" x14ac:dyDescent="0.25">
      <c r="F36" s="7" t="s">
        <v>11</v>
      </c>
      <c r="G36" s="18">
        <f>0+38+61</f>
        <v>99</v>
      </c>
      <c r="H36" s="19">
        <f t="shared" si="4"/>
        <v>6.9134078212290506E-2</v>
      </c>
      <c r="I36" s="18">
        <v>81</v>
      </c>
      <c r="J36" s="20">
        <f t="shared" si="5"/>
        <v>6.6393442622950813E-2</v>
      </c>
    </row>
    <row r="37" spans="6:10" ht="13.5" thickTop="1" x14ac:dyDescent="0.2">
      <c r="F37" s="12" t="s">
        <v>137</v>
      </c>
      <c r="H37" s="21">
        <f>SUM(H25:H36)</f>
        <v>0.7849162011173183</v>
      </c>
      <c r="J37" s="21">
        <f>SUM(J25:J36)</f>
        <v>0.7811475409836065</v>
      </c>
    </row>
    <row r="38" spans="6:10" x14ac:dyDescent="0.2">
      <c r="F38" s="1" t="s">
        <v>21</v>
      </c>
      <c r="G38" s="11">
        <f>2+430+1000</f>
        <v>1432</v>
      </c>
      <c r="H38" s="21"/>
      <c r="I38" s="11">
        <v>1220</v>
      </c>
      <c r="J38" s="21"/>
    </row>
    <row r="39" spans="6:10" x14ac:dyDescent="0.2">
      <c r="F39" s="1" t="s">
        <v>136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58</v>
      </c>
      <c r="H62" s="14">
        <f>AVERAGE(H7, H25)</f>
        <v>1.9299985766644129E-2</v>
      </c>
      <c r="I62" s="13">
        <f t="shared" ref="I62:I73" si="9">+I7+I25+I43</f>
        <v>17</v>
      </c>
      <c r="J62" s="15">
        <f>+AVERAGE(J7, J25)</f>
        <v>8.0145719489981785E-3</v>
      </c>
    </row>
    <row r="63" spans="6:10" x14ac:dyDescent="0.2">
      <c r="F63" s="6" t="s">
        <v>27</v>
      </c>
      <c r="G63" s="9">
        <f t="shared" si="8"/>
        <v>107</v>
      </c>
      <c r="H63" s="16">
        <f>AVERAGE(H8, H26)</f>
        <v>3.5150606696793936E-2</v>
      </c>
      <c r="I63" s="9">
        <f t="shared" si="9"/>
        <v>32</v>
      </c>
      <c r="J63" s="17">
        <f>+AVERAGE(J8,J26)</f>
        <v>1.4638185129988409E-2</v>
      </c>
    </row>
    <row r="64" spans="6:10" x14ac:dyDescent="0.2">
      <c r="F64" s="6" t="s">
        <v>28</v>
      </c>
      <c r="G64" s="9">
        <f t="shared" si="8"/>
        <v>149</v>
      </c>
      <c r="H64" s="16">
        <f t="shared" ref="H64:H72" si="10">AVERAGE(H9, H27)</f>
        <v>4.938574173575775E-2</v>
      </c>
      <c r="I64" s="9">
        <f t="shared" si="9"/>
        <v>77</v>
      </c>
      <c r="J64" s="17">
        <f t="shared" ref="J64:J72" si="11">+AVERAGE(J9,J27)</f>
        <v>3.4889882430866034E-2</v>
      </c>
    </row>
    <row r="65" spans="6:10" x14ac:dyDescent="0.2">
      <c r="F65" s="6" t="s">
        <v>29</v>
      </c>
      <c r="G65" s="9">
        <f t="shared" si="8"/>
        <v>161</v>
      </c>
      <c r="H65" s="16">
        <f t="shared" si="10"/>
        <v>5.3974664626552322E-2</v>
      </c>
      <c r="I65" s="9">
        <f t="shared" si="9"/>
        <v>125</v>
      </c>
      <c r="J65" s="17">
        <f t="shared" si="11"/>
        <v>5.5704586852127834E-2</v>
      </c>
    </row>
    <row r="66" spans="6:10" x14ac:dyDescent="0.2">
      <c r="F66" s="6" t="s">
        <v>30</v>
      </c>
      <c r="G66" s="9">
        <f t="shared" si="8"/>
        <v>196</v>
      </c>
      <c r="H66" s="16">
        <f t="shared" si="10"/>
        <v>6.6011190976052375E-2</v>
      </c>
      <c r="I66" s="9">
        <f t="shared" si="9"/>
        <v>143</v>
      </c>
      <c r="J66" s="17">
        <f t="shared" si="11"/>
        <v>6.4414638185129991E-2</v>
      </c>
    </row>
    <row r="67" spans="6:10" x14ac:dyDescent="0.2">
      <c r="F67" s="6" t="s">
        <v>37</v>
      </c>
      <c r="G67" s="9">
        <f t="shared" si="8"/>
        <v>278</v>
      </c>
      <c r="H67" s="16">
        <f t="shared" si="10"/>
        <v>9.252481941429741E-2</v>
      </c>
      <c r="I67" s="9">
        <f t="shared" si="9"/>
        <v>172</v>
      </c>
      <c r="J67" s="17">
        <f t="shared" si="11"/>
        <v>7.7061599602583214E-2</v>
      </c>
    </row>
    <row r="68" spans="6:10" x14ac:dyDescent="0.2">
      <c r="F68" s="6" t="s">
        <v>31</v>
      </c>
      <c r="G68" s="9">
        <f t="shared" si="8"/>
        <v>315</v>
      </c>
      <c r="H68" s="16">
        <f t="shared" si="10"/>
        <v>0.10464585631427251</v>
      </c>
      <c r="I68" s="9">
        <f t="shared" si="9"/>
        <v>252</v>
      </c>
      <c r="J68" s="17">
        <f t="shared" si="11"/>
        <v>0.11365706242755423</v>
      </c>
    </row>
    <row r="69" spans="6:10" x14ac:dyDescent="0.2">
      <c r="F69" s="6" t="s">
        <v>32</v>
      </c>
      <c r="G69" s="9">
        <f t="shared" si="8"/>
        <v>241</v>
      </c>
      <c r="H69" s="16">
        <f t="shared" si="10"/>
        <v>8.0281019819948049E-2</v>
      </c>
      <c r="I69" s="9">
        <f t="shared" si="9"/>
        <v>225</v>
      </c>
      <c r="J69" s="17">
        <f t="shared" si="11"/>
        <v>0.10202020202020202</v>
      </c>
    </row>
    <row r="70" spans="6:10" x14ac:dyDescent="0.2">
      <c r="F70" s="6" t="s">
        <v>33</v>
      </c>
      <c r="G70" s="9">
        <f t="shared" si="8"/>
        <v>232</v>
      </c>
      <c r="H70" s="16">
        <f t="shared" si="10"/>
        <v>7.7261324413763655E-2</v>
      </c>
      <c r="I70" s="9">
        <f t="shared" si="9"/>
        <v>149</v>
      </c>
      <c r="J70" s="17">
        <f t="shared" si="11"/>
        <v>6.8111442291770158E-2</v>
      </c>
    </row>
    <row r="71" spans="6:10" x14ac:dyDescent="0.2">
      <c r="F71" s="6" t="s">
        <v>34</v>
      </c>
      <c r="G71" s="9">
        <f t="shared" si="8"/>
        <v>184</v>
      </c>
      <c r="H71" s="16">
        <f t="shared" si="10"/>
        <v>6.1851937515567737E-2</v>
      </c>
      <c r="I71" s="9">
        <f t="shared" si="9"/>
        <v>173</v>
      </c>
      <c r="J71" s="17">
        <f t="shared" si="11"/>
        <v>7.6804934591819835E-2</v>
      </c>
    </row>
    <row r="72" spans="6:10" x14ac:dyDescent="0.2">
      <c r="F72" s="6" t="s">
        <v>35</v>
      </c>
      <c r="G72" s="9">
        <f t="shared" si="8"/>
        <v>195</v>
      </c>
      <c r="H72" s="16">
        <f t="shared" si="10"/>
        <v>6.4956143472227168E-2</v>
      </c>
      <c r="I72" s="9">
        <f t="shared" si="9"/>
        <v>163</v>
      </c>
      <c r="J72" s="17">
        <f t="shared" si="11"/>
        <v>7.337307501241927E-2</v>
      </c>
    </row>
    <row r="73" spans="6:10" ht="13.5" thickBot="1" x14ac:dyDescent="0.25">
      <c r="F73" s="7" t="s">
        <v>36</v>
      </c>
      <c r="G73" s="18">
        <f t="shared" si="8"/>
        <v>224</v>
      </c>
      <c r="H73" s="65">
        <f>AVERAGE(H18, H36)</f>
        <v>7.4375956303597474E-2</v>
      </c>
      <c r="I73" s="18">
        <f t="shared" si="9"/>
        <v>184</v>
      </c>
      <c r="J73" s="20">
        <f>+AVERAGE(J18, J36)</f>
        <v>8.5216923331677435E-2</v>
      </c>
    </row>
    <row r="74" spans="6:10" ht="13.5" thickTop="1" x14ac:dyDescent="0.2">
      <c r="F74" s="12" t="s">
        <v>25</v>
      </c>
      <c r="H74" s="21">
        <f>SUM(H62:H73)</f>
        <v>0.77971924705547457</v>
      </c>
      <c r="J74" s="21">
        <f>SUM(J62:J73)</f>
        <v>0.77390710382513661</v>
      </c>
    </row>
    <row r="75" spans="6:10" x14ac:dyDescent="0.2">
      <c r="F75" s="1" t="s">
        <v>21</v>
      </c>
      <c r="G75" s="64">
        <f>AVERAGE(G20,G38,G56)</f>
        <v>1501</v>
      </c>
      <c r="H75" s="21"/>
      <c r="I75" s="11">
        <f>AVERAGE(I20,I38,I56)</f>
        <v>1105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39BA-71D9-4C1B-B2B0-C1764F5FA924}">
  <sheetPr>
    <tabColor theme="4" tint="0.59999389629810485"/>
  </sheetPr>
  <dimension ref="B2:Z29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3"/>
      <c r="G5" s="67"/>
      <c r="H5" s="67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13" t="s">
        <v>39</v>
      </c>
      <c r="G6" s="11"/>
      <c r="H6" s="11"/>
    </row>
    <row r="7" spans="2:26" x14ac:dyDescent="0.2">
      <c r="B7" s="114" t="s">
        <v>26</v>
      </c>
      <c r="C7" s="162">
        <v>8.9999999999999993E-3</v>
      </c>
      <c r="D7" s="163">
        <v>8.0000000000000002E-3</v>
      </c>
      <c r="E7" s="162">
        <v>1E-3</v>
      </c>
      <c r="F7" s="165">
        <v>5.0000000000000001E-3</v>
      </c>
      <c r="G7" s="68"/>
      <c r="H7" s="68"/>
    </row>
    <row r="8" spans="2:26" x14ac:dyDescent="0.2">
      <c r="B8" s="117" t="s">
        <v>27</v>
      </c>
      <c r="C8" s="149">
        <v>2.1000000000000001E-2</v>
      </c>
      <c r="D8" s="268">
        <v>1.2E-2</v>
      </c>
      <c r="E8" s="149">
        <v>8.0000000000000002E-3</v>
      </c>
      <c r="F8" s="167">
        <v>4.0000000000000001E-3</v>
      </c>
      <c r="G8" s="68"/>
      <c r="H8" s="68"/>
    </row>
    <row r="9" spans="2:26" x14ac:dyDescent="0.2">
      <c r="B9" s="117" t="s">
        <v>28</v>
      </c>
      <c r="C9" s="149">
        <v>2.9000000000000001E-2</v>
      </c>
      <c r="D9" s="166">
        <v>1.9E-2</v>
      </c>
      <c r="E9" s="149">
        <v>2.4E-2</v>
      </c>
      <c r="F9" s="167">
        <v>1.4999999999999999E-2</v>
      </c>
      <c r="G9" s="68"/>
      <c r="H9" s="68"/>
    </row>
    <row r="10" spans="2:26" x14ac:dyDescent="0.2">
      <c r="B10" s="117" t="s">
        <v>29</v>
      </c>
      <c r="C10" s="149">
        <v>4.5999999999999999E-2</v>
      </c>
      <c r="D10" s="166">
        <v>3.3000000000000002E-2</v>
      </c>
      <c r="E10" s="149">
        <v>4.9000000000000002E-2</v>
      </c>
      <c r="F10" s="167">
        <v>4.2000000000000003E-2</v>
      </c>
      <c r="G10" s="68"/>
      <c r="H10" s="68"/>
    </row>
    <row r="11" spans="2:26" x14ac:dyDescent="0.2">
      <c r="B11" s="117" t="s">
        <v>30</v>
      </c>
      <c r="C11" s="149">
        <v>6.7000000000000004E-2</v>
      </c>
      <c r="D11" s="166">
        <v>5.0999999999999997E-2</v>
      </c>
      <c r="E11" s="149">
        <v>7.4999999999999997E-2</v>
      </c>
      <c r="F11" s="167">
        <v>5.5E-2</v>
      </c>
      <c r="G11" s="68"/>
      <c r="H11" s="68"/>
    </row>
    <row r="12" spans="2:26" x14ac:dyDescent="0.2">
      <c r="B12" s="117" t="s">
        <v>37</v>
      </c>
      <c r="C12" s="149">
        <v>0.09</v>
      </c>
      <c r="D12" s="166">
        <v>7.2999999999999995E-2</v>
      </c>
      <c r="E12" s="149">
        <v>8.8999999999999996E-2</v>
      </c>
      <c r="F12" s="167">
        <v>8.5000000000000006E-2</v>
      </c>
      <c r="G12" s="68"/>
      <c r="H12" s="68"/>
    </row>
    <row r="13" spans="2:26" x14ac:dyDescent="0.2">
      <c r="B13" s="117" t="s">
        <v>31</v>
      </c>
      <c r="C13" s="149">
        <v>0.10100000000000001</v>
      </c>
      <c r="D13" s="166">
        <v>0.1</v>
      </c>
      <c r="E13" s="149">
        <v>9.0999999999999998E-2</v>
      </c>
      <c r="F13" s="167">
        <v>9.0999999999999998E-2</v>
      </c>
      <c r="G13" s="68"/>
      <c r="H13" s="68"/>
    </row>
    <row r="14" spans="2:26" x14ac:dyDescent="0.2">
      <c r="B14" s="117" t="s">
        <v>32</v>
      </c>
      <c r="C14" s="149">
        <v>9.4E-2</v>
      </c>
      <c r="D14" s="166">
        <v>0.10100000000000001</v>
      </c>
      <c r="E14" s="149">
        <v>0.112</v>
      </c>
      <c r="F14" s="167">
        <v>9.5000000000000001E-2</v>
      </c>
      <c r="G14" s="68"/>
      <c r="H14" s="68"/>
    </row>
    <row r="15" spans="2:26" x14ac:dyDescent="0.2">
      <c r="B15" s="117" t="s">
        <v>33</v>
      </c>
      <c r="C15" s="149">
        <v>7.8E-2</v>
      </c>
      <c r="D15" s="166">
        <v>8.5999999999999993E-2</v>
      </c>
      <c r="E15" s="149">
        <v>0.112</v>
      </c>
      <c r="F15" s="167">
        <v>0.10100000000000001</v>
      </c>
      <c r="G15" s="68"/>
      <c r="H15" s="68"/>
    </row>
    <row r="16" spans="2:26" x14ac:dyDescent="0.2">
      <c r="B16" s="117" t="s">
        <v>34</v>
      </c>
      <c r="C16" s="149">
        <v>7.5999999999999998E-2</v>
      </c>
      <c r="D16" s="166">
        <v>8.5000000000000006E-2</v>
      </c>
      <c r="E16" s="149">
        <v>0.105</v>
      </c>
      <c r="F16" s="167">
        <v>0.113</v>
      </c>
      <c r="G16" s="68"/>
      <c r="H16" s="68"/>
    </row>
    <row r="17" spans="2:8" x14ac:dyDescent="0.2">
      <c r="B17" s="117" t="s">
        <v>35</v>
      </c>
      <c r="C17" s="149">
        <v>7.8E-2</v>
      </c>
      <c r="D17" s="166">
        <v>6.7000000000000004E-2</v>
      </c>
      <c r="E17" s="149">
        <v>0.09</v>
      </c>
      <c r="F17" s="167">
        <v>0.10100000000000001</v>
      </c>
      <c r="G17" s="68"/>
      <c r="H17" s="68"/>
    </row>
    <row r="18" spans="2:8" x14ac:dyDescent="0.2">
      <c r="B18" s="117" t="s">
        <v>36</v>
      </c>
      <c r="C18" s="149">
        <v>8.2000000000000003E-2</v>
      </c>
      <c r="D18" s="166">
        <v>7.2999999999999995E-2</v>
      </c>
      <c r="E18" s="149">
        <v>7.8E-2</v>
      </c>
      <c r="F18" s="269">
        <v>8.2000000000000003E-2</v>
      </c>
      <c r="G18" s="68"/>
      <c r="H18" s="68"/>
    </row>
    <row r="19" spans="2:8" x14ac:dyDescent="0.2">
      <c r="B19" s="270" t="s">
        <v>141</v>
      </c>
      <c r="C19" s="149">
        <v>7.0999999999999994E-2</v>
      </c>
      <c r="D19" s="166">
        <v>7.0000000000000007E-2</v>
      </c>
      <c r="E19" s="149">
        <v>5.8999999999999997E-2</v>
      </c>
      <c r="F19" s="167">
        <v>6.3E-2</v>
      </c>
      <c r="G19" s="68"/>
      <c r="H19" s="68"/>
    </row>
    <row r="20" spans="2:8" x14ac:dyDescent="0.2">
      <c r="B20" s="117" t="s">
        <v>142</v>
      </c>
      <c r="C20" s="149">
        <v>6.5000000000000002E-2</v>
      </c>
      <c r="D20" s="166">
        <v>7.2999999999999995E-2</v>
      </c>
      <c r="E20" s="149">
        <v>4.8000000000000001E-2</v>
      </c>
      <c r="F20" s="167">
        <v>5.0999999999999997E-2</v>
      </c>
      <c r="G20" s="68"/>
      <c r="H20" s="68"/>
    </row>
    <row r="21" spans="2:8" x14ac:dyDescent="0.2">
      <c r="B21" s="117" t="s">
        <v>160</v>
      </c>
      <c r="C21" s="149">
        <v>4.4999999999999998E-2</v>
      </c>
      <c r="D21" s="166">
        <v>6.3E-2</v>
      </c>
      <c r="E21" s="149">
        <v>3.1E-2</v>
      </c>
      <c r="F21" s="167">
        <v>4.2999999999999997E-2</v>
      </c>
      <c r="G21" s="68"/>
      <c r="H21" s="68"/>
    </row>
    <row r="22" spans="2:8" x14ac:dyDescent="0.2">
      <c r="B22" s="117" t="s">
        <v>161</v>
      </c>
      <c r="C22" s="149">
        <v>2.1000000000000001E-2</v>
      </c>
      <c r="D22" s="166">
        <v>4.2999999999999997E-2</v>
      </c>
      <c r="E22" s="271">
        <v>1.2999999999999999E-2</v>
      </c>
      <c r="F22" s="269">
        <v>2.8000000000000001E-2</v>
      </c>
      <c r="G22" s="272"/>
      <c r="H22" s="272"/>
    </row>
    <row r="23" spans="2:8" ht="13.5" thickBot="1" x14ac:dyDescent="0.25">
      <c r="B23" s="273" t="s">
        <v>186</v>
      </c>
      <c r="C23" s="150">
        <v>2.7E-2</v>
      </c>
      <c r="D23" s="168">
        <v>4.2999999999999997E-2</v>
      </c>
      <c r="E23" s="150">
        <v>1.4999999999999999E-2</v>
      </c>
      <c r="F23" s="170">
        <v>2.5999999999999999E-2</v>
      </c>
      <c r="G23" s="68"/>
      <c r="H23" s="68"/>
    </row>
    <row r="24" spans="2:8" ht="13.5" thickBot="1" x14ac:dyDescent="0.25">
      <c r="B24" s="142"/>
      <c r="C24" s="143">
        <f>SUM(C7:C23)</f>
        <v>0.99999999999999989</v>
      </c>
      <c r="D24" s="161">
        <f t="shared" ref="D24:F24" si="0">SUM(D7:D23)</f>
        <v>1</v>
      </c>
      <c r="E24" s="143">
        <f t="shared" si="0"/>
        <v>0.99999999999999989</v>
      </c>
      <c r="F24" s="144">
        <f t="shared" si="0"/>
        <v>1</v>
      </c>
      <c r="G24" s="68"/>
      <c r="H24" s="68"/>
    </row>
    <row r="25" spans="2:8" ht="13.5" thickTop="1" x14ac:dyDescent="0.2"/>
    <row r="27" spans="2:8" x14ac:dyDescent="0.2">
      <c r="B27" s="66" t="s">
        <v>202</v>
      </c>
    </row>
    <row r="28" spans="2:8" x14ac:dyDescent="0.2">
      <c r="B28" s="66" t="s">
        <v>206</v>
      </c>
    </row>
    <row r="29" spans="2:8" x14ac:dyDescent="0.2">
      <c r="B29" s="111" t="s">
        <v>196</v>
      </c>
    </row>
  </sheetData>
  <mergeCells count="4">
    <mergeCell ref="B2:Z3"/>
    <mergeCell ref="B5:B6"/>
    <mergeCell ref="C5:D5"/>
    <mergeCell ref="E5:F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280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1.7500000000000002E-2</v>
      </c>
      <c r="D7" s="163">
        <v>9.1000000000000004E-3</v>
      </c>
      <c r="E7" s="164">
        <v>2.8E-3</v>
      </c>
      <c r="F7" s="163">
        <v>1.4E-3</v>
      </c>
      <c r="G7" s="164">
        <v>7.3000000000000001E-3</v>
      </c>
      <c r="H7" s="165">
        <v>2.4000000000000002E-3</v>
      </c>
    </row>
    <row r="8" spans="2:26" x14ac:dyDescent="0.2">
      <c r="B8" s="117" t="s">
        <v>27</v>
      </c>
      <c r="C8" s="149">
        <v>2.75E-2</v>
      </c>
      <c r="D8" s="172">
        <v>1.8200000000000001E-2</v>
      </c>
      <c r="E8" s="120">
        <v>1.95E-2</v>
      </c>
      <c r="F8" s="166">
        <v>5.7000000000000002E-3</v>
      </c>
      <c r="G8" s="120">
        <v>3.1600000000000003E-2</v>
      </c>
      <c r="H8" s="167">
        <v>1.43E-2</v>
      </c>
    </row>
    <row r="9" spans="2:26" x14ac:dyDescent="0.2">
      <c r="B9" s="117" t="s">
        <v>28</v>
      </c>
      <c r="C9" s="149">
        <v>3.3800000000000004E-2</v>
      </c>
      <c r="D9" s="166">
        <v>3.0800000000000001E-2</v>
      </c>
      <c r="E9" s="120">
        <v>5.16E-2</v>
      </c>
      <c r="F9" s="166">
        <v>1.9900000000000001E-2</v>
      </c>
      <c r="G9" s="120">
        <v>8.5000000000000006E-2</v>
      </c>
      <c r="H9" s="167">
        <v>1.67E-2</v>
      </c>
    </row>
    <row r="10" spans="2:26" x14ac:dyDescent="0.2">
      <c r="B10" s="117" t="s">
        <v>29</v>
      </c>
      <c r="C10" s="149">
        <v>4.02E-2</v>
      </c>
      <c r="D10" s="166">
        <v>3.39E-2</v>
      </c>
      <c r="E10" s="120">
        <v>5.8600000000000006E-2</v>
      </c>
      <c r="F10" s="166">
        <v>3.8300000000000001E-2</v>
      </c>
      <c r="G10" s="120">
        <v>0.17230000000000001</v>
      </c>
      <c r="H10" s="167">
        <v>8.8099999999999998E-2</v>
      </c>
    </row>
    <row r="11" spans="2:26" x14ac:dyDescent="0.2">
      <c r="B11" s="117" t="s">
        <v>30</v>
      </c>
      <c r="C11" s="149">
        <v>5.45E-2</v>
      </c>
      <c r="D11" s="166">
        <v>4.4000000000000004E-2</v>
      </c>
      <c r="E11" s="120">
        <v>7.5300000000000006E-2</v>
      </c>
      <c r="F11" s="166">
        <v>5.8200000000000002E-2</v>
      </c>
      <c r="G11" s="120">
        <v>0.1966</v>
      </c>
      <c r="H11" s="167">
        <v>0.1976</v>
      </c>
    </row>
    <row r="12" spans="2:26" x14ac:dyDescent="0.2">
      <c r="B12" s="117" t="s">
        <v>37</v>
      </c>
      <c r="C12" s="149">
        <v>0.12130000000000001</v>
      </c>
      <c r="D12" s="166">
        <v>6.9199999999999998E-2</v>
      </c>
      <c r="E12" s="120">
        <v>7.1099999999999997E-2</v>
      </c>
      <c r="F12" s="166">
        <v>8.5100000000000009E-2</v>
      </c>
      <c r="G12" s="120">
        <v>0.16020000000000001</v>
      </c>
      <c r="H12" s="167">
        <v>0.1429</v>
      </c>
    </row>
    <row r="13" spans="2:26" x14ac:dyDescent="0.2">
      <c r="B13" s="117" t="s">
        <v>31</v>
      </c>
      <c r="C13" s="149">
        <v>0.124</v>
      </c>
      <c r="D13" s="166">
        <v>0.12290000000000001</v>
      </c>
      <c r="E13" s="120">
        <v>8.09E-2</v>
      </c>
      <c r="F13" s="166">
        <v>5.8200000000000002E-2</v>
      </c>
      <c r="G13" s="120">
        <v>0.11890000000000001</v>
      </c>
      <c r="H13" s="178">
        <v>0.15240000000000001</v>
      </c>
    </row>
    <row r="14" spans="2:26" x14ac:dyDescent="0.2">
      <c r="B14" s="117" t="s">
        <v>32</v>
      </c>
      <c r="C14" s="149">
        <v>6.4500000000000002E-2</v>
      </c>
      <c r="D14" s="166">
        <v>0.1119</v>
      </c>
      <c r="E14" s="120">
        <v>4.5999999999999999E-2</v>
      </c>
      <c r="F14" s="166">
        <v>7.3800000000000004E-2</v>
      </c>
      <c r="G14" s="120">
        <v>4.6100000000000002E-2</v>
      </c>
      <c r="H14" s="167">
        <v>0.1071</v>
      </c>
    </row>
    <row r="15" spans="2:26" x14ac:dyDescent="0.2">
      <c r="B15" s="117" t="s">
        <v>33</v>
      </c>
      <c r="C15" s="149">
        <v>0.04</v>
      </c>
      <c r="D15" s="166">
        <v>5.0800000000000005E-2</v>
      </c>
      <c r="E15" s="120">
        <v>3.9100000000000003E-2</v>
      </c>
      <c r="F15" s="166">
        <v>6.9500000000000006E-2</v>
      </c>
      <c r="G15" s="120">
        <v>4.6100000000000002E-2</v>
      </c>
      <c r="H15" s="167">
        <v>6.6700000000000009E-2</v>
      </c>
    </row>
    <row r="16" spans="2:26" x14ac:dyDescent="0.2">
      <c r="B16" s="117" t="s">
        <v>34</v>
      </c>
      <c r="C16" s="149">
        <v>3.3000000000000002E-2</v>
      </c>
      <c r="D16" s="166">
        <v>3.9600000000000003E-2</v>
      </c>
      <c r="E16" s="120">
        <v>5.3000000000000005E-2</v>
      </c>
      <c r="F16" s="166">
        <v>4.4000000000000004E-2</v>
      </c>
      <c r="G16" s="120">
        <v>1.46E-2</v>
      </c>
      <c r="H16" s="167">
        <v>4.2900000000000001E-2</v>
      </c>
    </row>
    <row r="17" spans="2:8" x14ac:dyDescent="0.2">
      <c r="B17" s="117" t="s">
        <v>35</v>
      </c>
      <c r="C17" s="149">
        <v>6.2300000000000001E-2</v>
      </c>
      <c r="D17" s="166">
        <v>3.9100000000000003E-2</v>
      </c>
      <c r="E17" s="120">
        <v>5.4400000000000004E-2</v>
      </c>
      <c r="F17" s="166">
        <v>3.4000000000000002E-2</v>
      </c>
      <c r="G17" s="120">
        <v>1.7000000000000001E-2</v>
      </c>
      <c r="H17" s="167">
        <v>3.1E-2</v>
      </c>
    </row>
    <row r="18" spans="2:8" x14ac:dyDescent="0.2">
      <c r="B18" s="117" t="s">
        <v>36</v>
      </c>
      <c r="C18" s="149">
        <v>0.10160000000000001</v>
      </c>
      <c r="D18" s="166">
        <v>6.83E-2</v>
      </c>
      <c r="E18" s="120">
        <v>0.1004</v>
      </c>
      <c r="F18" s="166">
        <v>5.5300000000000002E-2</v>
      </c>
      <c r="G18" s="120">
        <v>1.46E-2</v>
      </c>
      <c r="H18" s="167">
        <v>1.9E-2</v>
      </c>
    </row>
    <row r="19" spans="2:8" x14ac:dyDescent="0.2">
      <c r="B19" s="159" t="s">
        <v>141</v>
      </c>
      <c r="C19" s="149">
        <v>0.10100000000000001</v>
      </c>
      <c r="D19" s="166">
        <v>8.6699999999999999E-2</v>
      </c>
      <c r="E19" s="120">
        <v>0.1227</v>
      </c>
      <c r="F19" s="166">
        <v>7.2300000000000003E-2</v>
      </c>
      <c r="G19" s="120">
        <v>2.18E-2</v>
      </c>
      <c r="H19" s="167">
        <v>1.43E-2</v>
      </c>
    </row>
    <row r="20" spans="2:8" x14ac:dyDescent="0.2">
      <c r="B20" s="157" t="s">
        <v>142</v>
      </c>
      <c r="C20" s="149">
        <v>7.1800000000000003E-2</v>
      </c>
      <c r="D20" s="166">
        <v>9.240000000000001E-2</v>
      </c>
      <c r="E20" s="120">
        <v>7.8100000000000003E-2</v>
      </c>
      <c r="F20" s="166">
        <v>0.10780000000000001</v>
      </c>
      <c r="G20" s="120">
        <v>3.1600000000000003E-2</v>
      </c>
      <c r="H20" s="167">
        <v>3.3300000000000003E-2</v>
      </c>
    </row>
    <row r="21" spans="2:8" x14ac:dyDescent="0.2">
      <c r="B21" s="157" t="s">
        <v>160</v>
      </c>
      <c r="C21" s="149">
        <v>4.2700000000000002E-2</v>
      </c>
      <c r="D21" s="166">
        <v>7.1400000000000005E-2</v>
      </c>
      <c r="E21" s="120">
        <v>4.8800000000000003E-2</v>
      </c>
      <c r="F21" s="166">
        <v>0.10640000000000001</v>
      </c>
      <c r="G21" s="120">
        <v>9.7000000000000003E-3</v>
      </c>
      <c r="H21" s="167">
        <v>1.9E-2</v>
      </c>
    </row>
    <row r="22" spans="2:8" x14ac:dyDescent="0.2">
      <c r="B22" s="157" t="s">
        <v>161</v>
      </c>
      <c r="C22" s="149">
        <v>2.6100000000000002E-2</v>
      </c>
      <c r="D22" s="166">
        <v>4.7800000000000002E-2</v>
      </c>
      <c r="E22" s="179">
        <v>5.4400000000000004E-2</v>
      </c>
      <c r="F22" s="172">
        <v>6.5200000000000008E-2</v>
      </c>
      <c r="G22" s="120">
        <v>7.3000000000000001E-3</v>
      </c>
      <c r="H22" s="167">
        <v>9.4999999999999998E-3</v>
      </c>
    </row>
    <row r="23" spans="2:8" ht="13.5" thickBot="1" x14ac:dyDescent="0.25">
      <c r="B23" s="160" t="s">
        <v>186</v>
      </c>
      <c r="C23" s="150">
        <v>3.8200000000000005E-2</v>
      </c>
      <c r="D23" s="168">
        <v>6.3800000000000009E-2</v>
      </c>
      <c r="E23" s="169">
        <v>4.3200000000000002E-2</v>
      </c>
      <c r="F23" s="168">
        <v>0.10500000000000001</v>
      </c>
      <c r="G23" s="169">
        <v>1.9400000000000001E-2</v>
      </c>
      <c r="H23" s="170">
        <v>4.2900000000000001E-2</v>
      </c>
    </row>
    <row r="24" spans="2:8" ht="13.5" thickBot="1" x14ac:dyDescent="0.25">
      <c r="B24" s="142"/>
      <c r="C24" s="143">
        <f>SUM(C7:C23)</f>
        <v>1</v>
      </c>
      <c r="D24" s="161">
        <f t="shared" ref="D24:G24" si="0">SUM(D7:D23)</f>
        <v>0.99990000000000001</v>
      </c>
      <c r="E24" s="143">
        <f t="shared" si="0"/>
        <v>0.99990000000000012</v>
      </c>
      <c r="F24" s="161">
        <f t="shared" si="0"/>
        <v>1.0001000000000002</v>
      </c>
      <c r="G24" s="143">
        <f t="shared" si="0"/>
        <v>1.0001</v>
      </c>
      <c r="H24" s="144">
        <f>SUM(H7:H23)</f>
        <v>1.0001</v>
      </c>
    </row>
    <row r="25" spans="2:8" ht="13.5" thickTop="1" x14ac:dyDescent="0.2"/>
    <row r="27" spans="2:8" x14ac:dyDescent="0.2">
      <c r="B27" s="66" t="s">
        <v>275</v>
      </c>
    </row>
    <row r="28" spans="2:8" x14ac:dyDescent="0.2">
      <c r="B28" s="154" t="s">
        <v>198</v>
      </c>
    </row>
    <row r="29" spans="2:8" x14ac:dyDescent="0.2">
      <c r="B29" s="154" t="s">
        <v>204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ht="12.75" customHeight="1" x14ac:dyDescent="0.2">
      <c r="B2" s="232" t="s">
        <v>197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3"/>
      <c r="E5" s="250" t="s">
        <v>158</v>
      </c>
      <c r="F5" s="253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13" t="s">
        <v>39</v>
      </c>
      <c r="E6" s="112" t="s">
        <v>38</v>
      </c>
      <c r="F6" s="113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2.2700000000000001E-2</v>
      </c>
      <c r="D7" s="165">
        <v>1.8700000000000001E-2</v>
      </c>
      <c r="E7" s="162">
        <v>4.5999999999999999E-3</v>
      </c>
      <c r="F7" s="165">
        <v>4.2000000000000006E-3</v>
      </c>
      <c r="G7" s="162">
        <v>5.5999999999999999E-3</v>
      </c>
      <c r="H7" s="165">
        <v>3.7000000000000002E-3</v>
      </c>
    </row>
    <row r="8" spans="2:26" x14ac:dyDescent="0.2">
      <c r="B8" s="117" t="s">
        <v>27</v>
      </c>
      <c r="C8" s="149">
        <v>3.39E-2</v>
      </c>
      <c r="D8" s="178">
        <v>3.1100000000000003E-2</v>
      </c>
      <c r="E8" s="149">
        <v>1.2200000000000001E-2</v>
      </c>
      <c r="F8" s="178">
        <v>8.0000000000000002E-3</v>
      </c>
      <c r="G8" s="149">
        <v>9.300000000000001E-3</v>
      </c>
      <c r="H8" s="178">
        <v>7.1000000000000004E-3</v>
      </c>
    </row>
    <row r="9" spans="2:26" x14ac:dyDescent="0.2">
      <c r="B9" s="117" t="s">
        <v>28</v>
      </c>
      <c r="C9" s="149">
        <v>3.49E-2</v>
      </c>
      <c r="D9" s="167">
        <v>3.4200000000000001E-2</v>
      </c>
      <c r="E9" s="149">
        <v>1.54E-2</v>
      </c>
      <c r="F9" s="167">
        <v>1.4200000000000001E-2</v>
      </c>
      <c r="G9" s="149">
        <v>9.300000000000001E-3</v>
      </c>
      <c r="H9" s="167">
        <v>7.1000000000000004E-3</v>
      </c>
    </row>
    <row r="10" spans="2:26" x14ac:dyDescent="0.2">
      <c r="B10" s="117" t="s">
        <v>29</v>
      </c>
      <c r="C10" s="149">
        <v>3.4099999999999998E-2</v>
      </c>
      <c r="D10" s="167">
        <v>3.2600000000000004E-2</v>
      </c>
      <c r="E10" s="149">
        <v>2.24E-2</v>
      </c>
      <c r="F10" s="167">
        <v>1.9599999999999999E-2</v>
      </c>
      <c r="G10" s="149">
        <v>2.5400000000000002E-2</v>
      </c>
      <c r="H10" s="167">
        <v>1.72E-2</v>
      </c>
    </row>
    <row r="11" spans="2:26" x14ac:dyDescent="0.2">
      <c r="B11" s="117" t="s">
        <v>30</v>
      </c>
      <c r="C11" s="149">
        <v>3.9900000000000005E-2</v>
      </c>
      <c r="D11" s="167">
        <v>3.7000000000000005E-2</v>
      </c>
      <c r="E11" s="149">
        <v>3.2199999999999999E-2</v>
      </c>
      <c r="F11" s="167">
        <v>2.6800000000000001E-2</v>
      </c>
      <c r="G11" s="149">
        <v>2.24E-2</v>
      </c>
      <c r="H11" s="167">
        <v>2.6500000000000003E-2</v>
      </c>
    </row>
    <row r="12" spans="2:26" x14ac:dyDescent="0.2">
      <c r="B12" s="117" t="s">
        <v>37</v>
      </c>
      <c r="C12" s="149">
        <v>9.1400000000000009E-2</v>
      </c>
      <c r="D12" s="167">
        <v>7.6600000000000001E-2</v>
      </c>
      <c r="E12" s="149">
        <v>7.2099999999999997E-2</v>
      </c>
      <c r="F12" s="167">
        <v>6.0200000000000004E-2</v>
      </c>
      <c r="G12" s="149">
        <v>5.7000000000000002E-2</v>
      </c>
      <c r="H12" s="167">
        <v>4.3300000000000005E-2</v>
      </c>
    </row>
    <row r="13" spans="2:26" x14ac:dyDescent="0.2">
      <c r="B13" s="117" t="s">
        <v>31</v>
      </c>
      <c r="C13" s="149">
        <v>0.11900000000000001</v>
      </c>
      <c r="D13" s="167">
        <v>0.1198</v>
      </c>
      <c r="E13" s="149">
        <v>0.10350000000000001</v>
      </c>
      <c r="F13" s="167">
        <v>9.7900000000000001E-2</v>
      </c>
      <c r="G13" s="149">
        <v>9.7300000000000011E-2</v>
      </c>
      <c r="H13" s="167">
        <v>8.14E-2</v>
      </c>
    </row>
    <row r="14" spans="2:26" x14ac:dyDescent="0.2">
      <c r="B14" s="117" t="s">
        <v>32</v>
      </c>
      <c r="C14" s="149">
        <v>7.8899999999999998E-2</v>
      </c>
      <c r="D14" s="167">
        <v>8.72E-2</v>
      </c>
      <c r="E14" s="149">
        <v>8.43E-2</v>
      </c>
      <c r="F14" s="167">
        <v>9.01E-2</v>
      </c>
      <c r="G14" s="149">
        <v>8.72E-2</v>
      </c>
      <c r="H14" s="167">
        <v>9.7100000000000006E-2</v>
      </c>
    </row>
    <row r="15" spans="2:26" x14ac:dyDescent="0.2">
      <c r="B15" s="117" t="s">
        <v>33</v>
      </c>
      <c r="C15" s="149">
        <v>5.8700000000000002E-2</v>
      </c>
      <c r="D15" s="167">
        <v>6.4600000000000005E-2</v>
      </c>
      <c r="E15" s="149">
        <v>7.6700000000000004E-2</v>
      </c>
      <c r="F15" s="167">
        <v>7.9700000000000007E-2</v>
      </c>
      <c r="G15" s="149">
        <v>7.3800000000000004E-2</v>
      </c>
      <c r="H15" s="167">
        <v>7.8800000000000009E-2</v>
      </c>
    </row>
    <row r="16" spans="2:26" x14ac:dyDescent="0.2">
      <c r="B16" s="117" t="s">
        <v>34</v>
      </c>
      <c r="C16" s="149">
        <v>5.67E-2</v>
      </c>
      <c r="D16" s="167">
        <v>5.7100000000000005E-2</v>
      </c>
      <c r="E16" s="149">
        <v>7.17E-2</v>
      </c>
      <c r="F16" s="167">
        <v>7.3300000000000004E-2</v>
      </c>
      <c r="G16" s="149">
        <v>8.5000000000000006E-2</v>
      </c>
      <c r="H16" s="167">
        <v>8.3600000000000008E-2</v>
      </c>
    </row>
    <row r="17" spans="2:8" x14ac:dyDescent="0.2">
      <c r="B17" s="117" t="s">
        <v>35</v>
      </c>
      <c r="C17" s="149">
        <v>5.8700000000000002E-2</v>
      </c>
      <c r="D17" s="167">
        <v>5.5500000000000001E-2</v>
      </c>
      <c r="E17" s="149">
        <v>7.6700000000000004E-2</v>
      </c>
      <c r="F17" s="167">
        <v>7.2099999999999997E-2</v>
      </c>
      <c r="G17" s="149">
        <v>8.4600000000000009E-2</v>
      </c>
      <c r="H17" s="167">
        <v>8.14E-2</v>
      </c>
    </row>
    <row r="18" spans="2:8" x14ac:dyDescent="0.2">
      <c r="B18" s="117" t="s">
        <v>36</v>
      </c>
      <c r="C18" s="149">
        <v>6.9400000000000003E-2</v>
      </c>
      <c r="D18" s="167">
        <v>6.5299999999999997E-2</v>
      </c>
      <c r="E18" s="149">
        <v>8.7100000000000011E-2</v>
      </c>
      <c r="F18" s="167">
        <v>8.1299999999999997E-2</v>
      </c>
      <c r="G18" s="149">
        <v>0.10700000000000001</v>
      </c>
      <c r="H18" s="167">
        <v>9.1900000000000009E-2</v>
      </c>
    </row>
    <row r="19" spans="2:8" x14ac:dyDescent="0.2">
      <c r="B19" s="159" t="s">
        <v>141</v>
      </c>
      <c r="C19" s="149">
        <v>7.4099999999999999E-2</v>
      </c>
      <c r="D19" s="167">
        <v>7.400000000000001E-2</v>
      </c>
      <c r="E19" s="149">
        <v>8.0500000000000002E-2</v>
      </c>
      <c r="F19" s="167">
        <v>8.2900000000000001E-2</v>
      </c>
      <c r="G19" s="149">
        <v>0.1037</v>
      </c>
      <c r="H19" s="167">
        <v>0.1143</v>
      </c>
    </row>
    <row r="20" spans="2:8" x14ac:dyDescent="0.2">
      <c r="B20" s="157" t="s">
        <v>142</v>
      </c>
      <c r="C20" s="149">
        <v>6.3200000000000006E-2</v>
      </c>
      <c r="D20" s="167">
        <v>6.6400000000000001E-2</v>
      </c>
      <c r="E20" s="149">
        <v>7.6300000000000007E-2</v>
      </c>
      <c r="F20" s="167">
        <v>8.3900000000000002E-2</v>
      </c>
      <c r="G20" s="149">
        <v>0.1048</v>
      </c>
      <c r="H20" s="167">
        <v>0.10680000000000001</v>
      </c>
    </row>
    <row r="21" spans="2:8" x14ac:dyDescent="0.2">
      <c r="B21" s="157" t="s">
        <v>160</v>
      </c>
      <c r="C21" s="149">
        <v>5.6300000000000003E-2</v>
      </c>
      <c r="D21" s="167">
        <v>5.8500000000000003E-2</v>
      </c>
      <c r="E21" s="149">
        <v>7.4700000000000003E-2</v>
      </c>
      <c r="F21" s="167">
        <v>7.1500000000000008E-2</v>
      </c>
      <c r="G21" s="149">
        <v>7.0500000000000007E-2</v>
      </c>
      <c r="H21" s="167">
        <v>8.2500000000000004E-2</v>
      </c>
    </row>
    <row r="22" spans="2:8" x14ac:dyDescent="0.2">
      <c r="B22" s="157" t="s">
        <v>161</v>
      </c>
      <c r="C22" s="149">
        <v>4.1000000000000002E-2</v>
      </c>
      <c r="D22" s="167">
        <v>4.6100000000000002E-2</v>
      </c>
      <c r="E22" s="149">
        <v>6.3700000000000007E-2</v>
      </c>
      <c r="F22" s="167">
        <v>6.9900000000000004E-2</v>
      </c>
      <c r="G22" s="149">
        <v>3.6500000000000005E-2</v>
      </c>
      <c r="H22" s="167">
        <v>4.4400000000000002E-2</v>
      </c>
    </row>
    <row r="23" spans="2:8" ht="13.5" thickBot="1" x14ac:dyDescent="0.25">
      <c r="B23" s="160" t="s">
        <v>186</v>
      </c>
      <c r="C23" s="150">
        <v>6.720000000000001E-2</v>
      </c>
      <c r="D23" s="170">
        <v>7.51E-2</v>
      </c>
      <c r="E23" s="150">
        <v>4.5700000000000005E-2</v>
      </c>
      <c r="F23" s="170">
        <v>6.4100000000000004E-2</v>
      </c>
      <c r="G23" s="150">
        <v>2.0500000000000001E-2</v>
      </c>
      <c r="H23" s="170">
        <v>3.2899999999999999E-2</v>
      </c>
    </row>
    <row r="24" spans="2:8" ht="13.5" thickBot="1" x14ac:dyDescent="0.25">
      <c r="B24" s="142"/>
      <c r="C24" s="143">
        <f>SUM(C7:C23)</f>
        <v>1.0001</v>
      </c>
      <c r="D24" s="144">
        <f t="shared" ref="D24:F24" si="0">SUM(D7:D23)</f>
        <v>0.99980000000000002</v>
      </c>
      <c r="E24" s="143">
        <f>SUM(E7:E23)</f>
        <v>0.99980000000000002</v>
      </c>
      <c r="F24" s="144">
        <f t="shared" si="0"/>
        <v>0.99970000000000003</v>
      </c>
      <c r="G24" s="143">
        <f>SUM(G7:G23)</f>
        <v>0.9998999999999999</v>
      </c>
      <c r="H24" s="144">
        <f t="shared" ref="H24" si="1">SUM(H7:H23)</f>
        <v>1</v>
      </c>
    </row>
    <row r="25" spans="2:8" ht="13.5" thickTop="1" x14ac:dyDescent="0.2"/>
    <row r="27" spans="2:8" x14ac:dyDescent="0.2">
      <c r="B27" s="66" t="s">
        <v>278</v>
      </c>
    </row>
    <row r="28" spans="2:8" x14ac:dyDescent="0.2">
      <c r="B28" s="66" t="s">
        <v>277</v>
      </c>
    </row>
    <row r="29" spans="2:8" x14ac:dyDescent="0.2">
      <c r="B29" s="154" t="s">
        <v>276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281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96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4.0000000000000001E-3</v>
      </c>
      <c r="D7" s="116">
        <v>4.0000000000000001E-3</v>
      </c>
      <c r="F7" s="8" t="s">
        <v>12</v>
      </c>
      <c r="G7" s="13">
        <v>1</v>
      </c>
      <c r="H7" s="14">
        <f t="shared" ref="H7:H18" si="0">G7/$G$20</f>
        <v>4.11522633744856E-3</v>
      </c>
      <c r="I7" s="13">
        <v>1</v>
      </c>
      <c r="J7" s="15">
        <f t="shared" ref="J7:J18" si="1">I7/$I$20</f>
        <v>4.3103448275862068E-3</v>
      </c>
      <c r="L7" s="11">
        <f t="shared" ref="L7:L18" si="2">+G7+I7</f>
        <v>2</v>
      </c>
      <c r="M7" s="56">
        <f t="shared" ref="M7:M18" si="3">+L7/($G$20+$I$20)</f>
        <v>4.2105263157894736E-3</v>
      </c>
    </row>
    <row r="8" spans="2:26" x14ac:dyDescent="0.2">
      <c r="B8" s="117" t="s">
        <v>27</v>
      </c>
      <c r="C8" s="118">
        <v>4.0000000000000001E-3</v>
      </c>
      <c r="D8" s="119">
        <v>4.0000000000000001E-3</v>
      </c>
      <c r="F8" s="6" t="s">
        <v>1</v>
      </c>
      <c r="G8" s="9">
        <v>1</v>
      </c>
      <c r="H8" s="16">
        <f t="shared" si="0"/>
        <v>4.11522633744856E-3</v>
      </c>
      <c r="I8" s="9">
        <v>1</v>
      </c>
      <c r="J8" s="17">
        <f t="shared" si="1"/>
        <v>4.3103448275862068E-3</v>
      </c>
      <c r="L8" s="11">
        <f t="shared" si="2"/>
        <v>2</v>
      </c>
      <c r="M8" s="56">
        <f t="shared" si="3"/>
        <v>4.2105263157894736E-3</v>
      </c>
    </row>
    <row r="9" spans="2:26" x14ac:dyDescent="0.2">
      <c r="B9" s="117" t="s">
        <v>28</v>
      </c>
      <c r="C9" s="120">
        <v>2.5000000000000001E-2</v>
      </c>
      <c r="D9" s="119">
        <v>8.9999999999999993E-3</v>
      </c>
      <c r="F9" s="6" t="s">
        <v>2</v>
      </c>
      <c r="G9" s="9">
        <v>6</v>
      </c>
      <c r="H9" s="16">
        <f t="shared" si="0"/>
        <v>2.4691358024691357E-2</v>
      </c>
      <c r="I9" s="9">
        <v>2</v>
      </c>
      <c r="J9" s="17">
        <f t="shared" si="1"/>
        <v>8.6206896551724137E-3</v>
      </c>
      <c r="L9" s="11">
        <f t="shared" si="2"/>
        <v>8</v>
      </c>
      <c r="M9" s="56">
        <f t="shared" si="3"/>
        <v>1.6842105263157894E-2</v>
      </c>
    </row>
    <row r="10" spans="2:26" x14ac:dyDescent="0.2">
      <c r="B10" s="117" t="s">
        <v>29</v>
      </c>
      <c r="C10" s="120">
        <v>1.2E-2</v>
      </c>
      <c r="D10" s="119">
        <v>8.9999999999999993E-3</v>
      </c>
      <c r="F10" s="6" t="s">
        <v>3</v>
      </c>
      <c r="G10" s="9">
        <v>3</v>
      </c>
      <c r="H10" s="16">
        <f t="shared" si="0"/>
        <v>1.2345679012345678E-2</v>
      </c>
      <c r="I10" s="9">
        <v>2</v>
      </c>
      <c r="J10" s="17">
        <f t="shared" si="1"/>
        <v>8.6206896551724137E-3</v>
      </c>
      <c r="L10" s="11">
        <f t="shared" si="2"/>
        <v>5</v>
      </c>
      <c r="M10" s="56">
        <f t="shared" si="3"/>
        <v>1.0526315789473684E-2</v>
      </c>
    </row>
    <row r="11" spans="2:26" x14ac:dyDescent="0.2">
      <c r="B11" s="117" t="s">
        <v>30</v>
      </c>
      <c r="C11" s="120">
        <v>3.3000000000000002E-2</v>
      </c>
      <c r="D11" s="119">
        <v>0.03</v>
      </c>
      <c r="F11" s="6" t="s">
        <v>4</v>
      </c>
      <c r="G11" s="9">
        <v>8</v>
      </c>
      <c r="H11" s="16">
        <f t="shared" si="0"/>
        <v>3.292181069958848E-2</v>
      </c>
      <c r="I11" s="9">
        <v>7</v>
      </c>
      <c r="J11" s="17">
        <f t="shared" si="1"/>
        <v>3.017241379310345E-2</v>
      </c>
      <c r="L11" s="11">
        <f t="shared" si="2"/>
        <v>15</v>
      </c>
      <c r="M11" s="56">
        <f t="shared" si="3"/>
        <v>3.1578947368421054E-2</v>
      </c>
    </row>
    <row r="12" spans="2:26" x14ac:dyDescent="0.2">
      <c r="B12" s="117" t="s">
        <v>37</v>
      </c>
      <c r="C12" s="120">
        <v>0.115</v>
      </c>
      <c r="D12" s="119">
        <v>0.108</v>
      </c>
      <c r="F12" s="6" t="s">
        <v>5</v>
      </c>
      <c r="G12" s="9">
        <f>3+22+3</f>
        <v>28</v>
      </c>
      <c r="H12" s="16">
        <f t="shared" si="0"/>
        <v>0.11522633744855967</v>
      </c>
      <c r="I12" s="9">
        <v>25</v>
      </c>
      <c r="J12" s="17">
        <f t="shared" si="1"/>
        <v>0.10775862068965517</v>
      </c>
      <c r="L12" s="11">
        <f t="shared" si="2"/>
        <v>53</v>
      </c>
      <c r="M12" s="56">
        <f t="shared" si="3"/>
        <v>0.11157894736842106</v>
      </c>
    </row>
    <row r="13" spans="2:26" x14ac:dyDescent="0.2">
      <c r="B13" s="117" t="s">
        <v>31</v>
      </c>
      <c r="C13" s="120">
        <v>0.17299999999999999</v>
      </c>
      <c r="D13" s="119">
        <v>0.216</v>
      </c>
      <c r="F13" s="6" t="s">
        <v>6</v>
      </c>
      <c r="G13" s="9">
        <f>2+34+6</f>
        <v>42</v>
      </c>
      <c r="H13" s="16">
        <f t="shared" si="0"/>
        <v>0.1728395061728395</v>
      </c>
      <c r="I13" s="9">
        <v>50</v>
      </c>
      <c r="J13" s="17">
        <f t="shared" si="1"/>
        <v>0.21551724137931033</v>
      </c>
      <c r="L13" s="11">
        <f t="shared" si="2"/>
        <v>92</v>
      </c>
      <c r="M13" s="56">
        <f t="shared" si="3"/>
        <v>0.19368421052631579</v>
      </c>
    </row>
    <row r="14" spans="2:26" x14ac:dyDescent="0.2">
      <c r="B14" s="117" t="s">
        <v>32</v>
      </c>
      <c r="C14" s="120">
        <v>7.3999999999999996E-2</v>
      </c>
      <c r="D14" s="119">
        <v>9.9000000000000005E-2</v>
      </c>
      <c r="F14" s="6" t="s">
        <v>7</v>
      </c>
      <c r="G14" s="9">
        <f>13+5</f>
        <v>18</v>
      </c>
      <c r="H14" s="16">
        <f t="shared" si="0"/>
        <v>7.407407407407407E-2</v>
      </c>
      <c r="I14" s="9">
        <v>23</v>
      </c>
      <c r="J14" s="17">
        <f t="shared" si="1"/>
        <v>9.9137931034482762E-2</v>
      </c>
      <c r="L14" s="11">
        <f t="shared" si="2"/>
        <v>41</v>
      </c>
      <c r="M14" s="56">
        <f t="shared" si="3"/>
        <v>8.6315789473684207E-2</v>
      </c>
    </row>
    <row r="15" spans="2:26" x14ac:dyDescent="0.2">
      <c r="B15" s="117" t="s">
        <v>33</v>
      </c>
      <c r="C15" s="120">
        <v>3.3000000000000002E-2</v>
      </c>
      <c r="D15" s="119">
        <v>5.6000000000000001E-2</v>
      </c>
      <c r="F15" s="6" t="s">
        <v>8</v>
      </c>
      <c r="G15" s="9">
        <v>8</v>
      </c>
      <c r="H15" s="16">
        <f t="shared" si="0"/>
        <v>3.292181069958848E-2</v>
      </c>
      <c r="I15" s="9">
        <v>13</v>
      </c>
      <c r="J15" s="17">
        <f t="shared" si="1"/>
        <v>5.6034482758620691E-2</v>
      </c>
      <c r="L15" s="11">
        <f t="shared" si="2"/>
        <v>21</v>
      </c>
      <c r="M15" s="56">
        <f t="shared" si="3"/>
        <v>4.4210526315789471E-2</v>
      </c>
    </row>
    <row r="16" spans="2:26" x14ac:dyDescent="0.2">
      <c r="B16" s="117" t="s">
        <v>34</v>
      </c>
      <c r="C16" s="120">
        <v>5.8000000000000003E-2</v>
      </c>
      <c r="D16" s="119">
        <v>0.06</v>
      </c>
      <c r="F16" s="6" t="s">
        <v>9</v>
      </c>
      <c r="G16" s="9">
        <v>14</v>
      </c>
      <c r="H16" s="16">
        <f t="shared" si="0"/>
        <v>5.7613168724279837E-2</v>
      </c>
      <c r="I16" s="9">
        <v>14</v>
      </c>
      <c r="J16" s="17">
        <f t="shared" si="1"/>
        <v>6.0344827586206899E-2</v>
      </c>
      <c r="L16" s="11">
        <f t="shared" si="2"/>
        <v>28</v>
      </c>
      <c r="M16" s="56">
        <f t="shared" si="3"/>
        <v>5.894736842105263E-2</v>
      </c>
    </row>
    <row r="17" spans="2:13" x14ac:dyDescent="0.2">
      <c r="B17" s="117" t="s">
        <v>35</v>
      </c>
      <c r="C17" s="120">
        <v>8.5999999999999993E-2</v>
      </c>
      <c r="D17" s="119">
        <v>5.1999999999999998E-2</v>
      </c>
      <c r="F17" s="6" t="s">
        <v>10</v>
      </c>
      <c r="G17" s="9">
        <v>21</v>
      </c>
      <c r="H17" s="16">
        <f t="shared" si="0"/>
        <v>8.6419753086419748E-2</v>
      </c>
      <c r="I17" s="9">
        <v>12</v>
      </c>
      <c r="J17" s="17">
        <f t="shared" si="1"/>
        <v>5.1724137931034482E-2</v>
      </c>
      <c r="L17" s="11">
        <f t="shared" si="2"/>
        <v>33</v>
      </c>
      <c r="M17" s="56">
        <f t="shared" si="3"/>
        <v>6.9473684210526312E-2</v>
      </c>
    </row>
    <row r="18" spans="2:13" ht="13.5" thickBot="1" x14ac:dyDescent="0.25">
      <c r="B18" s="121" t="s">
        <v>36</v>
      </c>
      <c r="C18" s="122">
        <v>0.152</v>
      </c>
      <c r="D18" s="123">
        <v>0.121</v>
      </c>
      <c r="F18" s="7" t="s">
        <v>11</v>
      </c>
      <c r="G18" s="18">
        <f>1+27+9</f>
        <v>37</v>
      </c>
      <c r="H18" s="19">
        <f t="shared" si="0"/>
        <v>0.15226337448559671</v>
      </c>
      <c r="I18" s="18">
        <v>28</v>
      </c>
      <c r="J18" s="20">
        <f t="shared" si="1"/>
        <v>0.1206896551724138</v>
      </c>
      <c r="L18" s="11">
        <f t="shared" si="2"/>
        <v>65</v>
      </c>
      <c r="M18" s="56">
        <f t="shared" si="3"/>
        <v>0.1368421052631579</v>
      </c>
    </row>
    <row r="19" spans="2:13" ht="14.25" thickTop="1" thickBot="1" x14ac:dyDescent="0.25">
      <c r="B19" s="124"/>
      <c r="C19" s="125">
        <f>SUM(C7:C18)</f>
        <v>0.76900000000000002</v>
      </c>
      <c r="D19" s="126">
        <f>SUM(D7:D18)</f>
        <v>0.76800000000000002</v>
      </c>
      <c r="F19" s="1" t="s">
        <v>97</v>
      </c>
      <c r="H19" s="21">
        <f>SUM(H7:H18)</f>
        <v>0.76954732510288071</v>
      </c>
      <c r="J19" s="21">
        <f>SUM(J7:J18)</f>
        <v>0.76724137931034475</v>
      </c>
    </row>
    <row r="20" spans="2:13" ht="13.5" thickTop="1" x14ac:dyDescent="0.2">
      <c r="F20" s="1" t="s">
        <v>21</v>
      </c>
      <c r="G20" s="11">
        <f>10+168+65</f>
        <v>243</v>
      </c>
      <c r="H20" s="21"/>
      <c r="I20" s="11">
        <v>232</v>
      </c>
      <c r="J20" s="21"/>
    </row>
    <row r="21" spans="2:13" x14ac:dyDescent="0.2">
      <c r="F21" s="1" t="s">
        <v>98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107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</v>
      </c>
      <c r="H62" s="14">
        <f>AVERAGE(H7)</f>
        <v>4.11522633744856E-3</v>
      </c>
      <c r="I62" s="13">
        <f t="shared" ref="I62:I73" si="9">+I7+I25+I43</f>
        <v>1</v>
      </c>
      <c r="J62" s="15">
        <f>+AVERAGE(J7)</f>
        <v>4.3103448275862068E-3</v>
      </c>
    </row>
    <row r="63" spans="6:10" x14ac:dyDescent="0.2">
      <c r="F63" s="6" t="s">
        <v>27</v>
      </c>
      <c r="G63" s="9">
        <f t="shared" si="8"/>
        <v>1</v>
      </c>
      <c r="H63" s="16">
        <f>AVERAGE(H8)</f>
        <v>4.11522633744856E-3</v>
      </c>
      <c r="I63" s="9">
        <f t="shared" si="9"/>
        <v>1</v>
      </c>
      <c r="J63" s="17">
        <f>+AVERAGE(J8)</f>
        <v>4.3103448275862068E-3</v>
      </c>
    </row>
    <row r="64" spans="6:10" x14ac:dyDescent="0.2">
      <c r="F64" s="6" t="s">
        <v>28</v>
      </c>
      <c r="G64" s="9">
        <f t="shared" si="8"/>
        <v>6</v>
      </c>
      <c r="H64" s="16">
        <f t="shared" ref="H64:H72" si="10">AVERAGE(H9)</f>
        <v>2.4691358024691357E-2</v>
      </c>
      <c r="I64" s="9">
        <f t="shared" si="9"/>
        <v>2</v>
      </c>
      <c r="J64" s="17">
        <f t="shared" ref="J64:J72" si="11">+AVERAGE(J9)</f>
        <v>8.6206896551724137E-3</v>
      </c>
    </row>
    <row r="65" spans="6:10" x14ac:dyDescent="0.2">
      <c r="F65" s="6" t="s">
        <v>29</v>
      </c>
      <c r="G65" s="9">
        <f t="shared" si="8"/>
        <v>3</v>
      </c>
      <c r="H65" s="16">
        <f t="shared" si="10"/>
        <v>1.2345679012345678E-2</v>
      </c>
      <c r="I65" s="9">
        <f t="shared" si="9"/>
        <v>2</v>
      </c>
      <c r="J65" s="17">
        <f t="shared" si="11"/>
        <v>8.6206896551724137E-3</v>
      </c>
    </row>
    <row r="66" spans="6:10" x14ac:dyDescent="0.2">
      <c r="F66" s="6" t="s">
        <v>30</v>
      </c>
      <c r="G66" s="9">
        <f t="shared" si="8"/>
        <v>8</v>
      </c>
      <c r="H66" s="16">
        <f t="shared" si="10"/>
        <v>3.292181069958848E-2</v>
      </c>
      <c r="I66" s="9">
        <f t="shared" si="9"/>
        <v>7</v>
      </c>
      <c r="J66" s="17">
        <f t="shared" si="11"/>
        <v>3.017241379310345E-2</v>
      </c>
    </row>
    <row r="67" spans="6:10" x14ac:dyDescent="0.2">
      <c r="F67" s="6" t="s">
        <v>37</v>
      </c>
      <c r="G67" s="9">
        <f t="shared" si="8"/>
        <v>28</v>
      </c>
      <c r="H67" s="16">
        <f t="shared" si="10"/>
        <v>0.11522633744855967</v>
      </c>
      <c r="I67" s="9">
        <f t="shared" si="9"/>
        <v>25</v>
      </c>
      <c r="J67" s="17">
        <f t="shared" si="11"/>
        <v>0.10775862068965517</v>
      </c>
    </row>
    <row r="68" spans="6:10" x14ac:dyDescent="0.2">
      <c r="F68" s="6" t="s">
        <v>31</v>
      </c>
      <c r="G68" s="9">
        <f t="shared" si="8"/>
        <v>42</v>
      </c>
      <c r="H68" s="16">
        <f t="shared" si="10"/>
        <v>0.1728395061728395</v>
      </c>
      <c r="I68" s="9">
        <f t="shared" si="9"/>
        <v>50</v>
      </c>
      <c r="J68" s="17">
        <f t="shared" si="11"/>
        <v>0.21551724137931033</v>
      </c>
    </row>
    <row r="69" spans="6:10" x14ac:dyDescent="0.2">
      <c r="F69" s="6" t="s">
        <v>32</v>
      </c>
      <c r="G69" s="9">
        <f t="shared" si="8"/>
        <v>18</v>
      </c>
      <c r="H69" s="16">
        <f t="shared" si="10"/>
        <v>7.407407407407407E-2</v>
      </c>
      <c r="I69" s="9">
        <f t="shared" si="9"/>
        <v>23</v>
      </c>
      <c r="J69" s="17">
        <f t="shared" si="11"/>
        <v>9.9137931034482762E-2</v>
      </c>
    </row>
    <row r="70" spans="6:10" x14ac:dyDescent="0.2">
      <c r="F70" s="6" t="s">
        <v>33</v>
      </c>
      <c r="G70" s="9">
        <f t="shared" si="8"/>
        <v>8</v>
      </c>
      <c r="H70" s="16">
        <f t="shared" si="10"/>
        <v>3.292181069958848E-2</v>
      </c>
      <c r="I70" s="9">
        <f t="shared" si="9"/>
        <v>13</v>
      </c>
      <c r="J70" s="17">
        <f t="shared" si="11"/>
        <v>5.6034482758620691E-2</v>
      </c>
    </row>
    <row r="71" spans="6:10" x14ac:dyDescent="0.2">
      <c r="F71" s="6" t="s">
        <v>34</v>
      </c>
      <c r="G71" s="9">
        <f t="shared" si="8"/>
        <v>14</v>
      </c>
      <c r="H71" s="16">
        <f t="shared" si="10"/>
        <v>5.7613168724279837E-2</v>
      </c>
      <c r="I71" s="9">
        <f t="shared" si="9"/>
        <v>14</v>
      </c>
      <c r="J71" s="17">
        <f t="shared" si="11"/>
        <v>6.0344827586206899E-2</v>
      </c>
    </row>
    <row r="72" spans="6:10" x14ac:dyDescent="0.2">
      <c r="F72" s="6" t="s">
        <v>35</v>
      </c>
      <c r="G72" s="9">
        <f t="shared" si="8"/>
        <v>21</v>
      </c>
      <c r="H72" s="16">
        <f t="shared" si="10"/>
        <v>8.6419753086419748E-2</v>
      </c>
      <c r="I72" s="9">
        <f t="shared" si="9"/>
        <v>12</v>
      </c>
      <c r="J72" s="17">
        <f t="shared" si="11"/>
        <v>5.1724137931034482E-2</v>
      </c>
    </row>
    <row r="73" spans="6:10" ht="13.5" thickBot="1" x14ac:dyDescent="0.25">
      <c r="F73" s="7" t="s">
        <v>36</v>
      </c>
      <c r="G73" s="18">
        <f t="shared" si="8"/>
        <v>37</v>
      </c>
      <c r="H73" s="65">
        <f>AVERAGE(H18)</f>
        <v>0.15226337448559671</v>
      </c>
      <c r="I73" s="18">
        <f t="shared" si="9"/>
        <v>28</v>
      </c>
      <c r="J73" s="20">
        <f>+AVERAGE(J18)</f>
        <v>0.1206896551724138</v>
      </c>
    </row>
    <row r="74" spans="6:10" ht="13.5" thickTop="1" x14ac:dyDescent="0.2">
      <c r="F74" s="12" t="s">
        <v>25</v>
      </c>
      <c r="H74" s="21">
        <f>SUM(H62:H73)</f>
        <v>0.76954732510288071</v>
      </c>
      <c r="J74" s="21">
        <f>SUM(J62:J73)</f>
        <v>0.76724137931034475</v>
      </c>
    </row>
    <row r="75" spans="6:10" x14ac:dyDescent="0.2">
      <c r="F75" s="1" t="s">
        <v>21</v>
      </c>
      <c r="G75" s="64">
        <f>AVERAGE(G20,G38,G56)</f>
        <v>243</v>
      </c>
      <c r="H75" s="21"/>
      <c r="I75" s="11">
        <f>AVERAGE(I20,I38,I56)</f>
        <v>232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75F1-449D-422B-86D1-7DD8BB135D05}">
  <sheetPr>
    <tabColor theme="4" tint="0.59999389629810485"/>
  </sheetPr>
  <dimension ref="B2:Z28"/>
  <sheetViews>
    <sheetView zoomScale="70" zoomScaleNormal="70" workbookViewId="0">
      <selection activeCell="B2" sqref="B2:Z3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284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74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4.6900000000000004E-2</v>
      </c>
      <c r="D7" s="163">
        <v>4.5400000000000003E-2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6.1900000000000004E-2</v>
      </c>
      <c r="D8" s="166">
        <v>6.1500000000000006E-2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5.8100000000000006E-2</v>
      </c>
      <c r="D9" s="166">
        <v>5.9200000000000003E-2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5.0200000000000002E-2</v>
      </c>
      <c r="D10" s="166">
        <v>5.0800000000000005E-2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5.16E-2</v>
      </c>
      <c r="D11" s="166">
        <v>5.1500000000000004E-2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5.3400000000000003E-2</v>
      </c>
      <c r="D12" s="166">
        <v>5.2200000000000003E-2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5.7600000000000005E-2</v>
      </c>
      <c r="D13" s="166">
        <v>5.7600000000000005E-2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5.3999999999999999E-2</v>
      </c>
      <c r="D14" s="166">
        <v>5.3400000000000003E-2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6.0600000000000001E-2</v>
      </c>
      <c r="D15" s="166">
        <v>5.8300000000000005E-2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6.4899999999999999E-2</v>
      </c>
      <c r="D16" s="166">
        <v>6.430000000000001E-2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7.2300000000000003E-2</v>
      </c>
      <c r="D17" s="166">
        <v>7.0500000000000007E-2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6.9500000000000006E-2</v>
      </c>
      <c r="D18" s="166">
        <v>6.93E-2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6.4700000000000008E-2</v>
      </c>
      <c r="D19" s="166">
        <v>6.5600000000000006E-2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5.2700000000000004E-2</v>
      </c>
      <c r="D20" s="166">
        <v>5.3000000000000005E-2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4.3000000000000003E-2</v>
      </c>
      <c r="D21" s="166">
        <v>4.4600000000000001E-2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3.7100000000000001E-2</v>
      </c>
      <c r="D22" s="166">
        <v>3.73E-2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0.10160000000000001</v>
      </c>
      <c r="D23" s="168">
        <v>0.10550000000000001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1.0001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286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ABF3-B185-4526-A188-7022C6F7E2BB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4.6900000000000004E-2</v>
      </c>
      <c r="D7" s="163">
        <v>4.4700000000000004E-2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5.9900000000000002E-2</v>
      </c>
      <c r="D8" s="166">
        <v>5.8600000000000006E-2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6.5299999999999997E-2</v>
      </c>
      <c r="D9" s="166">
        <v>6.430000000000001E-2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5.6400000000000006E-2</v>
      </c>
      <c r="D10" s="166">
        <v>5.7100000000000005E-2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5.2900000000000003E-2</v>
      </c>
      <c r="D11" s="166">
        <v>5.2900000000000003E-2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5.8400000000000001E-2</v>
      </c>
      <c r="D12" s="166">
        <v>5.7200000000000001E-2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6.6100000000000006E-2</v>
      </c>
      <c r="D13" s="166">
        <v>6.6000000000000003E-2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6.1700000000000005E-2</v>
      </c>
      <c r="D14" s="166">
        <v>5.9500000000000004E-2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6.0200000000000004E-2</v>
      </c>
      <c r="D15" s="166">
        <v>6.2E-2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6.7900000000000002E-2</v>
      </c>
      <c r="D16" s="166">
        <v>6.7799999999999999E-2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6.3100000000000003E-2</v>
      </c>
      <c r="D17" s="166">
        <v>6.5100000000000005E-2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6.720000000000001E-2</v>
      </c>
      <c r="D18" s="166">
        <v>6.9100000000000009E-2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5.28E-2</v>
      </c>
      <c r="D19" s="166">
        <v>5.4200000000000005E-2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3.9300000000000002E-2</v>
      </c>
      <c r="D20" s="166">
        <v>4.0300000000000002E-2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3.39E-2</v>
      </c>
      <c r="D21" s="166">
        <v>3.3700000000000001E-2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2.8000000000000001E-2</v>
      </c>
      <c r="D22" s="166">
        <v>2.6800000000000001E-2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0.1202</v>
      </c>
      <c r="D23" s="168">
        <v>0.1207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1.0002000000000002</v>
      </c>
      <c r="D24" s="161">
        <f t="shared" ref="D24" si="0">SUM(D7:D23)</f>
        <v>1.0000000000000002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287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Z93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56</v>
      </c>
      <c r="H5" s="244"/>
      <c r="I5" s="244"/>
      <c r="J5" s="245"/>
    </row>
    <row r="6" spans="2:26" ht="13.5" thickBot="1" x14ac:dyDescent="0.25">
      <c r="B6" s="249"/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0.14499999999999999</v>
      </c>
      <c r="D7" s="116">
        <v>2.5999999999999999E-2</v>
      </c>
      <c r="F7" s="8" t="s">
        <v>12</v>
      </c>
      <c r="G7" s="13">
        <f>383+63+101</f>
        <v>547</v>
      </c>
      <c r="H7" s="14">
        <f t="shared" ref="H7:H18" si="0">G7/$G$20</f>
        <v>0.15438893593000283</v>
      </c>
      <c r="I7" s="13">
        <v>129</v>
      </c>
      <c r="J7" s="15">
        <f t="shared" ref="J7:J18" si="1">I7/$I$20</f>
        <v>3.5873192436040043E-2</v>
      </c>
      <c r="L7" s="11">
        <f t="shared" ref="L7:L18" si="2">+G7+I7</f>
        <v>676</v>
      </c>
      <c r="M7" s="56">
        <f t="shared" ref="M7:M18" si="3">+L7/($G$20+$I$20)</f>
        <v>9.4691133211934439E-2</v>
      </c>
    </row>
    <row r="8" spans="2:26" x14ac:dyDescent="0.2">
      <c r="B8" s="117" t="s">
        <v>27</v>
      </c>
      <c r="C8" s="118">
        <v>0.108</v>
      </c>
      <c r="D8" s="119">
        <v>4.1000000000000002E-2</v>
      </c>
      <c r="F8" s="6" t="s">
        <v>1</v>
      </c>
      <c r="G8" s="9">
        <f>292+46+123</f>
        <v>461</v>
      </c>
      <c r="H8" s="16">
        <f t="shared" si="0"/>
        <v>0.13011572114027661</v>
      </c>
      <c r="I8" s="9">
        <v>203</v>
      </c>
      <c r="J8" s="17">
        <f t="shared" si="1"/>
        <v>5.6451612903225805E-2</v>
      </c>
      <c r="L8" s="11">
        <f t="shared" si="2"/>
        <v>664</v>
      </c>
      <c r="M8" s="56">
        <f t="shared" si="3"/>
        <v>9.3010225521781759E-2</v>
      </c>
    </row>
    <row r="9" spans="2:26" x14ac:dyDescent="0.2">
      <c r="B9" s="117" t="s">
        <v>28</v>
      </c>
      <c r="C9" s="120">
        <v>6.9000000000000006E-2</v>
      </c>
      <c r="D9" s="119">
        <v>0.03</v>
      </c>
      <c r="F9" s="6" t="s">
        <v>2</v>
      </c>
      <c r="G9" s="9">
        <f>118+19+38</f>
        <v>175</v>
      </c>
      <c r="H9" s="16">
        <f t="shared" si="0"/>
        <v>4.9393169630256847E-2</v>
      </c>
      <c r="I9" s="9">
        <v>91</v>
      </c>
      <c r="J9" s="17">
        <f t="shared" si="1"/>
        <v>2.5305895439377085E-2</v>
      </c>
      <c r="L9" s="11">
        <f t="shared" si="2"/>
        <v>266</v>
      </c>
      <c r="M9" s="56">
        <f t="shared" si="3"/>
        <v>3.726012046505113E-2</v>
      </c>
    </row>
    <row r="10" spans="2:26" x14ac:dyDescent="0.2">
      <c r="B10" s="117" t="s">
        <v>29</v>
      </c>
      <c r="C10" s="120">
        <v>3.6999999999999998E-2</v>
      </c>
      <c r="D10" s="119">
        <v>3.1E-2</v>
      </c>
      <c r="F10" s="6" t="s">
        <v>3</v>
      </c>
      <c r="G10" s="9">
        <f>62+13+19</f>
        <v>94</v>
      </c>
      <c r="H10" s="16">
        <f t="shared" si="0"/>
        <v>2.6531188258537963E-2</v>
      </c>
      <c r="I10" s="9">
        <v>79</v>
      </c>
      <c r="J10" s="17">
        <f t="shared" si="1"/>
        <v>2.196885428253615E-2</v>
      </c>
      <c r="L10" s="11">
        <f t="shared" si="2"/>
        <v>173</v>
      </c>
      <c r="M10" s="56">
        <f t="shared" si="3"/>
        <v>2.423308586636784E-2</v>
      </c>
    </row>
    <row r="11" spans="2:26" x14ac:dyDescent="0.2">
      <c r="B11" s="117" t="s">
        <v>30</v>
      </c>
      <c r="C11" s="120">
        <v>3.5000000000000003E-2</v>
      </c>
      <c r="D11" s="119">
        <v>3.9E-2</v>
      </c>
      <c r="F11" s="6" t="s">
        <v>4</v>
      </c>
      <c r="G11" s="9">
        <f>68+15+25</f>
        <v>108</v>
      </c>
      <c r="H11" s="16">
        <f t="shared" si="0"/>
        <v>3.0482641828958511E-2</v>
      </c>
      <c r="I11" s="9">
        <v>115</v>
      </c>
      <c r="J11" s="17">
        <f t="shared" si="1"/>
        <v>3.1979977753058955E-2</v>
      </c>
      <c r="L11" s="11">
        <f t="shared" si="2"/>
        <v>223</v>
      </c>
      <c r="M11" s="56">
        <f t="shared" si="3"/>
        <v>3.1236867908670682E-2</v>
      </c>
    </row>
    <row r="12" spans="2:26" x14ac:dyDescent="0.2">
      <c r="B12" s="117" t="s">
        <v>37</v>
      </c>
      <c r="C12" s="120">
        <v>4.7E-2</v>
      </c>
      <c r="D12" s="119">
        <v>5.8999999999999997E-2</v>
      </c>
      <c r="F12" s="6" t="s">
        <v>5</v>
      </c>
      <c r="G12" s="9">
        <f>92+11+23</f>
        <v>126</v>
      </c>
      <c r="H12" s="16">
        <f t="shared" si="0"/>
        <v>3.556308213378493E-2</v>
      </c>
      <c r="I12" s="9">
        <v>176</v>
      </c>
      <c r="J12" s="17">
        <f t="shared" si="1"/>
        <v>4.8943270300333706E-2</v>
      </c>
      <c r="L12" s="11">
        <f t="shared" si="2"/>
        <v>302</v>
      </c>
      <c r="M12" s="56">
        <f t="shared" si="3"/>
        <v>4.2302843535509178E-2</v>
      </c>
    </row>
    <row r="13" spans="2:26" x14ac:dyDescent="0.2">
      <c r="B13" s="117" t="s">
        <v>31</v>
      </c>
      <c r="C13" s="120">
        <v>7.0000000000000007E-2</v>
      </c>
      <c r="D13" s="119">
        <v>7.0000000000000007E-2</v>
      </c>
      <c r="F13" s="6" t="s">
        <v>6</v>
      </c>
      <c r="G13" s="9">
        <f>170+28+38</f>
        <v>236</v>
      </c>
      <c r="H13" s="16">
        <f t="shared" si="0"/>
        <v>6.6610217329946375E-2</v>
      </c>
      <c r="I13" s="9">
        <v>237</v>
      </c>
      <c r="J13" s="17">
        <f t="shared" si="1"/>
        <v>6.5906562847608458E-2</v>
      </c>
      <c r="L13" s="11">
        <f t="shared" si="2"/>
        <v>473</v>
      </c>
      <c r="M13" s="56">
        <f t="shared" si="3"/>
        <v>6.6255778120184905E-2</v>
      </c>
    </row>
    <row r="14" spans="2:26" x14ac:dyDescent="0.2">
      <c r="B14" s="117" t="s">
        <v>32</v>
      </c>
      <c r="C14" s="120">
        <v>5.5E-2</v>
      </c>
      <c r="D14" s="119">
        <v>3.9E-2</v>
      </c>
      <c r="F14" s="6" t="s">
        <v>7</v>
      </c>
      <c r="G14" s="9">
        <f>165+18+34</f>
        <v>217</v>
      </c>
      <c r="H14" s="16">
        <f t="shared" si="0"/>
        <v>6.1247530341518489E-2</v>
      </c>
      <c r="I14" s="9">
        <v>118</v>
      </c>
      <c r="J14" s="17">
        <f t="shared" si="1"/>
        <v>3.2814238042269191E-2</v>
      </c>
      <c r="L14" s="11">
        <f t="shared" si="2"/>
        <v>335</v>
      </c>
      <c r="M14" s="56">
        <f t="shared" si="3"/>
        <v>4.6925339683429053E-2</v>
      </c>
    </row>
    <row r="15" spans="2:26" x14ac:dyDescent="0.2">
      <c r="B15" s="117" t="s">
        <v>33</v>
      </c>
      <c r="C15" s="120">
        <v>6.7000000000000004E-2</v>
      </c>
      <c r="D15" s="119">
        <v>7.9000000000000001E-2</v>
      </c>
      <c r="F15" s="6" t="s">
        <v>8</v>
      </c>
      <c r="G15" s="9">
        <f>116+65+55</f>
        <v>236</v>
      </c>
      <c r="H15" s="16">
        <f t="shared" si="0"/>
        <v>6.6610217329946375E-2</v>
      </c>
      <c r="I15" s="9">
        <v>389</v>
      </c>
      <c r="J15" s="17">
        <f t="shared" si="1"/>
        <v>0.10817575083426029</v>
      </c>
      <c r="L15" s="11">
        <f t="shared" si="2"/>
        <v>625</v>
      </c>
      <c r="M15" s="56">
        <f t="shared" si="3"/>
        <v>8.7547275528785551E-2</v>
      </c>
    </row>
    <row r="16" spans="2:26" x14ac:dyDescent="0.2">
      <c r="B16" s="117" t="s">
        <v>34</v>
      </c>
      <c r="C16" s="120">
        <v>6.3E-2</v>
      </c>
      <c r="D16" s="119">
        <v>0.151</v>
      </c>
      <c r="F16" s="6" t="s">
        <v>9</v>
      </c>
      <c r="G16" s="9">
        <f>113+16+46</f>
        <v>175</v>
      </c>
      <c r="H16" s="16">
        <f t="shared" si="0"/>
        <v>4.9393169630256847E-2</v>
      </c>
      <c r="I16" s="9">
        <v>506</v>
      </c>
      <c r="J16" s="17">
        <f t="shared" si="1"/>
        <v>0.14071190211345941</v>
      </c>
      <c r="L16" s="11">
        <f t="shared" si="2"/>
        <v>681</v>
      </c>
      <c r="M16" s="56">
        <f t="shared" si="3"/>
        <v>9.5391511416164726E-2</v>
      </c>
    </row>
    <row r="17" spans="2:13" x14ac:dyDescent="0.2">
      <c r="B17" s="117" t="s">
        <v>35</v>
      </c>
      <c r="C17" s="120">
        <v>3.6999999999999998E-2</v>
      </c>
      <c r="D17" s="119">
        <v>0.112</v>
      </c>
      <c r="F17" s="6" t="s">
        <v>10</v>
      </c>
      <c r="G17" s="9">
        <f>96+18+47</f>
        <v>161</v>
      </c>
      <c r="H17" s="16">
        <f t="shared" si="0"/>
        <v>4.5441716059836296E-2</v>
      </c>
      <c r="I17" s="9">
        <v>332</v>
      </c>
      <c r="J17" s="17">
        <f t="shared" si="1"/>
        <v>9.2324805339265847E-2</v>
      </c>
      <c r="L17" s="11">
        <f t="shared" si="2"/>
        <v>493</v>
      </c>
      <c r="M17" s="56">
        <f t="shared" si="3"/>
        <v>6.9057290937106039E-2</v>
      </c>
    </row>
    <row r="18" spans="2:13" ht="13.5" thickBot="1" x14ac:dyDescent="0.25">
      <c r="B18" s="121" t="s">
        <v>36</v>
      </c>
      <c r="C18" s="122">
        <v>2.8000000000000001E-2</v>
      </c>
      <c r="D18" s="123">
        <v>8.4000000000000005E-2</v>
      </c>
      <c r="F18" s="7" t="s">
        <v>11</v>
      </c>
      <c r="G18" s="18">
        <f>59+16+35</f>
        <v>110</v>
      </c>
      <c r="H18" s="19">
        <f t="shared" si="0"/>
        <v>3.1047135196161445E-2</v>
      </c>
      <c r="I18" s="18">
        <v>310</v>
      </c>
      <c r="J18" s="20">
        <f t="shared" si="1"/>
        <v>8.6206896551724144E-2</v>
      </c>
      <c r="L18" s="11">
        <f t="shared" si="2"/>
        <v>420</v>
      </c>
      <c r="M18" s="56">
        <f t="shared" si="3"/>
        <v>5.8831769155343883E-2</v>
      </c>
    </row>
    <row r="19" spans="2:13" ht="14.25" thickTop="1" thickBot="1" x14ac:dyDescent="0.25">
      <c r="B19" s="124"/>
      <c r="C19" s="125">
        <f>SUM(C7:C18)</f>
        <v>0.76100000000000001</v>
      </c>
      <c r="D19" s="126">
        <f>SUM(D7:D18)</f>
        <v>0.76100000000000001</v>
      </c>
      <c r="F19" s="1" t="s">
        <v>57</v>
      </c>
      <c r="H19" s="21">
        <f>SUM(H7:H18)</f>
        <v>0.74682472480948348</v>
      </c>
      <c r="J19" s="21">
        <f>SUM(J7:J18)</f>
        <v>0.74666295884315903</v>
      </c>
    </row>
    <row r="20" spans="2:13" ht="13.5" thickTop="1" x14ac:dyDescent="0.2">
      <c r="F20" s="1" t="s">
        <v>21</v>
      </c>
      <c r="G20" s="11">
        <f>2322+439+782</f>
        <v>3543</v>
      </c>
      <c r="H20" s="21"/>
      <c r="I20" s="11">
        <v>3596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58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92+88</f>
        <v>180</v>
      </c>
      <c r="H25" s="14">
        <f>G25/G38</f>
        <v>0.18518518518518517</v>
      </c>
      <c r="I25" s="13">
        <f>9+13</f>
        <v>22</v>
      </c>
      <c r="J25" s="15">
        <f>I25/I38</f>
        <v>2.4096385542168676E-2</v>
      </c>
    </row>
    <row r="26" spans="2:13" x14ac:dyDescent="0.2">
      <c r="F26" s="6" t="s">
        <v>1</v>
      </c>
      <c r="G26" s="9">
        <f>50+52</f>
        <v>102</v>
      </c>
      <c r="H26" s="16">
        <f t="shared" ref="H26:H36" si="4">G26/$G$38</f>
        <v>0.10493827160493827</v>
      </c>
      <c r="I26" s="9">
        <f>12+28</f>
        <v>40</v>
      </c>
      <c r="J26" s="17">
        <f t="shared" ref="J26:J36" si="5">I26/$I$38</f>
        <v>4.3811610076670317E-2</v>
      </c>
    </row>
    <row r="27" spans="2:13" x14ac:dyDescent="0.2">
      <c r="F27" s="6" t="s">
        <v>2</v>
      </c>
      <c r="G27" s="9">
        <f>25+42</f>
        <v>67</v>
      </c>
      <c r="H27" s="16">
        <f t="shared" si="4"/>
        <v>6.893004115226338E-2</v>
      </c>
      <c r="I27" s="9">
        <f>7+19</f>
        <v>26</v>
      </c>
      <c r="J27" s="17">
        <f t="shared" si="5"/>
        <v>2.8477546549835708E-2</v>
      </c>
    </row>
    <row r="28" spans="2:13" x14ac:dyDescent="0.2">
      <c r="F28" s="6" t="s">
        <v>3</v>
      </c>
      <c r="G28" s="9">
        <f>16+35</f>
        <v>51</v>
      </c>
      <c r="H28" s="16">
        <f t="shared" si="4"/>
        <v>5.2469135802469133E-2</v>
      </c>
      <c r="I28" s="9">
        <f>14+17</f>
        <v>31</v>
      </c>
      <c r="J28" s="17">
        <f t="shared" si="5"/>
        <v>3.3953997809419496E-2</v>
      </c>
    </row>
    <row r="29" spans="2:13" x14ac:dyDescent="0.2">
      <c r="F29" s="6" t="s">
        <v>4</v>
      </c>
      <c r="G29" s="9">
        <f>23+17</f>
        <v>40</v>
      </c>
      <c r="H29" s="16">
        <f t="shared" si="4"/>
        <v>4.1152263374485597E-2</v>
      </c>
      <c r="I29" s="9">
        <f>22+20</f>
        <v>42</v>
      </c>
      <c r="J29" s="17">
        <f t="shared" si="5"/>
        <v>4.6002190580503831E-2</v>
      </c>
    </row>
    <row r="30" spans="2:13" x14ac:dyDescent="0.2">
      <c r="F30" s="6" t="s">
        <v>5</v>
      </c>
      <c r="G30" s="9">
        <f>20+29</f>
        <v>49</v>
      </c>
      <c r="H30" s="16">
        <f t="shared" si="4"/>
        <v>5.0411522633744855E-2</v>
      </c>
      <c r="I30" s="9">
        <f>23+45</f>
        <v>68</v>
      </c>
      <c r="J30" s="17">
        <f t="shared" si="5"/>
        <v>7.4479737130339535E-2</v>
      </c>
    </row>
    <row r="31" spans="2:13" x14ac:dyDescent="0.2">
      <c r="F31" s="6" t="s">
        <v>6</v>
      </c>
      <c r="G31" s="9">
        <f>48+31</f>
        <v>79</v>
      </c>
      <c r="H31" s="16">
        <f t="shared" si="4"/>
        <v>8.1275720164609058E-2</v>
      </c>
      <c r="I31" s="9">
        <f>25+36</f>
        <v>61</v>
      </c>
      <c r="J31" s="17">
        <f t="shared" si="5"/>
        <v>6.6812705366922229E-2</v>
      </c>
    </row>
    <row r="32" spans="2:13" x14ac:dyDescent="0.2">
      <c r="F32" s="6" t="s">
        <v>7</v>
      </c>
      <c r="G32" s="9">
        <f>26+20</f>
        <v>46</v>
      </c>
      <c r="H32" s="16">
        <f t="shared" si="4"/>
        <v>4.7325102880658436E-2</v>
      </c>
      <c r="I32" s="9">
        <f>9+23</f>
        <v>32</v>
      </c>
      <c r="J32" s="17">
        <f t="shared" si="5"/>
        <v>3.5049288061336253E-2</v>
      </c>
    </row>
    <row r="33" spans="6:10" x14ac:dyDescent="0.2">
      <c r="F33" s="6" t="s">
        <v>8</v>
      </c>
      <c r="G33" s="9">
        <f>41+35</f>
        <v>76</v>
      </c>
      <c r="H33" s="16">
        <f t="shared" si="4"/>
        <v>7.8189300411522639E-2</v>
      </c>
      <c r="I33" s="9">
        <f>25+27</f>
        <v>52</v>
      </c>
      <c r="J33" s="17">
        <f t="shared" si="5"/>
        <v>5.6955093099671415E-2</v>
      </c>
    </row>
    <row r="34" spans="6:10" x14ac:dyDescent="0.2">
      <c r="F34" s="6" t="s">
        <v>9</v>
      </c>
      <c r="G34" s="9">
        <f>33+31</f>
        <v>64</v>
      </c>
      <c r="H34" s="16">
        <f t="shared" si="4"/>
        <v>6.584362139917696E-2</v>
      </c>
      <c r="I34" s="9">
        <f>62+103</f>
        <v>165</v>
      </c>
      <c r="J34" s="17">
        <f t="shared" si="5"/>
        <v>0.18072289156626506</v>
      </c>
    </row>
    <row r="35" spans="6:10" x14ac:dyDescent="0.2">
      <c r="F35" s="6" t="s">
        <v>10</v>
      </c>
      <c r="G35" s="9">
        <f>18+15</f>
        <v>33</v>
      </c>
      <c r="H35" s="16">
        <f t="shared" si="4"/>
        <v>3.3950617283950615E-2</v>
      </c>
      <c r="I35" s="9">
        <f>71+73</f>
        <v>144</v>
      </c>
      <c r="J35" s="17">
        <f t="shared" si="5"/>
        <v>0.15772179627601315</v>
      </c>
    </row>
    <row r="36" spans="6:10" ht="13.5" thickBot="1" x14ac:dyDescent="0.25">
      <c r="F36" s="7" t="s">
        <v>11</v>
      </c>
      <c r="G36" s="18">
        <f>7+6</f>
        <v>13</v>
      </c>
      <c r="H36" s="19">
        <f t="shared" si="4"/>
        <v>1.3374485596707819E-2</v>
      </c>
      <c r="I36" s="18">
        <f>45+23</f>
        <v>68</v>
      </c>
      <c r="J36" s="20">
        <f t="shared" si="5"/>
        <v>7.4479737130339535E-2</v>
      </c>
    </row>
    <row r="37" spans="6:10" ht="13.5" thickTop="1" x14ac:dyDescent="0.2">
      <c r="F37" s="12" t="s">
        <v>59</v>
      </c>
      <c r="H37" s="21">
        <f>SUM(H25:H36)</f>
        <v>0.82304526748971185</v>
      </c>
      <c r="J37" s="21">
        <f>SUM(J25:J36)</f>
        <v>0.82256297918948518</v>
      </c>
    </row>
    <row r="38" spans="6:10" x14ac:dyDescent="0.2">
      <c r="F38" s="1" t="s">
        <v>21</v>
      </c>
      <c r="G38" s="11">
        <f>485+487</f>
        <v>972</v>
      </c>
      <c r="H38" s="21"/>
      <c r="I38" s="11">
        <f>394+519</f>
        <v>913</v>
      </c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72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159+42</f>
        <v>201</v>
      </c>
      <c r="H43" s="14">
        <f>G43/G56</f>
        <v>9.5942720763723149E-2</v>
      </c>
      <c r="I43" s="13">
        <v>37</v>
      </c>
      <c r="J43" s="15">
        <f>I43/I56</f>
        <v>1.7074296262113521E-2</v>
      </c>
    </row>
    <row r="44" spans="6:10" x14ac:dyDescent="0.2">
      <c r="F44" s="6" t="s">
        <v>1</v>
      </c>
      <c r="G44" s="9">
        <f>119+67</f>
        <v>186</v>
      </c>
      <c r="H44" s="16">
        <f t="shared" ref="H44:H54" si="6">G44/$G$56</f>
        <v>8.8782816229116948E-2</v>
      </c>
      <c r="I44" s="9">
        <v>49</v>
      </c>
      <c r="J44" s="17">
        <f t="shared" ref="J44:J54" si="7">I44/$I$56</f>
        <v>2.2611905860636824E-2</v>
      </c>
    </row>
    <row r="45" spans="6:10" x14ac:dyDescent="0.2">
      <c r="F45" s="6" t="s">
        <v>2</v>
      </c>
      <c r="G45" s="9">
        <f>86+102</f>
        <v>188</v>
      </c>
      <c r="H45" s="16">
        <f t="shared" si="6"/>
        <v>8.9737470167064445E-2</v>
      </c>
      <c r="I45" s="9">
        <v>75</v>
      </c>
      <c r="J45" s="17">
        <f t="shared" si="7"/>
        <v>3.4610059990770652E-2</v>
      </c>
    </row>
    <row r="46" spans="6:10" x14ac:dyDescent="0.2">
      <c r="F46" s="6" t="s">
        <v>3</v>
      </c>
      <c r="G46" s="9">
        <f>27+39</f>
        <v>66</v>
      </c>
      <c r="H46" s="16">
        <f t="shared" si="6"/>
        <v>3.1503579952267304E-2</v>
      </c>
      <c r="I46" s="9">
        <v>78</v>
      </c>
      <c r="J46" s="17">
        <f t="shared" si="7"/>
        <v>3.599446239040148E-2</v>
      </c>
    </row>
    <row r="47" spans="6:10" x14ac:dyDescent="0.2">
      <c r="F47" s="6" t="s">
        <v>4</v>
      </c>
      <c r="G47" s="9">
        <f>54+14</f>
        <v>68</v>
      </c>
      <c r="H47" s="16">
        <f t="shared" si="6"/>
        <v>3.2458233890214794E-2</v>
      </c>
      <c r="I47" s="9">
        <v>85</v>
      </c>
      <c r="J47" s="17">
        <f t="shared" si="7"/>
        <v>3.9224734656206739E-2</v>
      </c>
    </row>
    <row r="48" spans="6:10" x14ac:dyDescent="0.2">
      <c r="F48" s="6" t="s">
        <v>5</v>
      </c>
      <c r="G48" s="9">
        <f>68+44</f>
        <v>112</v>
      </c>
      <c r="H48" s="16">
        <f t="shared" si="6"/>
        <v>5.3460620525059663E-2</v>
      </c>
      <c r="I48" s="9">
        <v>115</v>
      </c>
      <c r="J48" s="17">
        <f t="shared" si="7"/>
        <v>5.3068758652515001E-2</v>
      </c>
    </row>
    <row r="49" spans="6:10" x14ac:dyDescent="0.2">
      <c r="F49" s="6" t="s">
        <v>6</v>
      </c>
      <c r="G49" s="9">
        <f>109+22</f>
        <v>131</v>
      </c>
      <c r="H49" s="16">
        <f t="shared" si="6"/>
        <v>6.2529832935560858E-2</v>
      </c>
      <c r="I49" s="9">
        <v>164</v>
      </c>
      <c r="J49" s="17">
        <f t="shared" si="7"/>
        <v>7.5680664513151821E-2</v>
      </c>
    </row>
    <row r="50" spans="6:10" x14ac:dyDescent="0.2">
      <c r="F50" s="6" t="s">
        <v>7</v>
      </c>
      <c r="G50" s="9">
        <f>95+21</f>
        <v>116</v>
      </c>
      <c r="H50" s="16">
        <f t="shared" si="6"/>
        <v>5.5369928400954657E-2</v>
      </c>
      <c r="I50" s="9">
        <v>107</v>
      </c>
      <c r="J50" s="17">
        <f t="shared" si="7"/>
        <v>4.9377018920166126E-2</v>
      </c>
    </row>
    <row r="51" spans="6:10" x14ac:dyDescent="0.2">
      <c r="F51" s="6" t="s">
        <v>8</v>
      </c>
      <c r="G51" s="9">
        <f>82+34</f>
        <v>116</v>
      </c>
      <c r="H51" s="16">
        <f t="shared" si="6"/>
        <v>5.5369928400954657E-2</v>
      </c>
      <c r="I51" s="9">
        <v>155</v>
      </c>
      <c r="J51" s="17">
        <f t="shared" si="7"/>
        <v>7.1527457314259343E-2</v>
      </c>
    </row>
    <row r="52" spans="6:10" x14ac:dyDescent="0.2">
      <c r="F52" s="6" t="s">
        <v>9</v>
      </c>
      <c r="G52" s="9">
        <f>105+48</f>
        <v>153</v>
      </c>
      <c r="H52" s="16">
        <f t="shared" si="6"/>
        <v>7.30310262529833E-2</v>
      </c>
      <c r="I52" s="9">
        <v>285</v>
      </c>
      <c r="J52" s="17">
        <f t="shared" si="7"/>
        <v>0.13151822796492849</v>
      </c>
    </row>
    <row r="53" spans="6:10" x14ac:dyDescent="0.2">
      <c r="F53" s="6" t="s">
        <v>10</v>
      </c>
      <c r="G53" s="9">
        <f>46+20</f>
        <v>66</v>
      </c>
      <c r="H53" s="16">
        <f t="shared" si="6"/>
        <v>3.1503579952267304E-2</v>
      </c>
      <c r="I53" s="9">
        <v>186</v>
      </c>
      <c r="J53" s="17">
        <f t="shared" si="7"/>
        <v>8.5832948777111215E-2</v>
      </c>
    </row>
    <row r="54" spans="6:10" ht="13.5" thickBot="1" x14ac:dyDescent="0.25">
      <c r="F54" s="7" t="s">
        <v>11</v>
      </c>
      <c r="G54" s="18">
        <f>16+65</f>
        <v>81</v>
      </c>
      <c r="H54" s="19">
        <f t="shared" si="6"/>
        <v>3.8663484486873512E-2</v>
      </c>
      <c r="I54" s="18">
        <v>199</v>
      </c>
      <c r="J54" s="20">
        <f t="shared" si="7"/>
        <v>9.183202584217813E-2</v>
      </c>
    </row>
    <row r="55" spans="6:10" ht="13.5" thickTop="1" x14ac:dyDescent="0.2">
      <c r="F55" s="12" t="s">
        <v>73</v>
      </c>
      <c r="H55" s="21">
        <f>SUM(H43:H54)</f>
        <v>0.70835322195704065</v>
      </c>
      <c r="J55" s="21">
        <f>SUM(J43:J54)</f>
        <v>0.70835256114443934</v>
      </c>
    </row>
    <row r="56" spans="6:10" x14ac:dyDescent="0.2">
      <c r="F56" s="1" t="s">
        <v>21</v>
      </c>
      <c r="G56" s="11">
        <f>1364+731</f>
        <v>2095</v>
      </c>
      <c r="H56" s="21"/>
      <c r="I56" s="11">
        <v>2167</v>
      </c>
    </row>
    <row r="57" spans="6:10" x14ac:dyDescent="0.2">
      <c r="F57" s="1"/>
      <c r="H57" s="21"/>
    </row>
    <row r="58" spans="6:10" ht="13.5" thickBot="1" x14ac:dyDescent="0.25"/>
    <row r="59" spans="6:10" ht="13.5" thickTop="1" x14ac:dyDescent="0.2">
      <c r="F59" s="2"/>
      <c r="G59" s="243" t="s">
        <v>22</v>
      </c>
      <c r="H59" s="244"/>
      <c r="I59" s="244"/>
      <c r="J59" s="245"/>
    </row>
    <row r="60" spans="6:10" ht="13.5" thickBot="1" x14ac:dyDescent="0.25">
      <c r="F60" s="3" t="s">
        <v>0</v>
      </c>
      <c r="G60" s="9" t="s">
        <v>13</v>
      </c>
      <c r="H60" s="4" t="s">
        <v>23</v>
      </c>
      <c r="I60" s="9" t="s">
        <v>15</v>
      </c>
      <c r="J60" s="5" t="s">
        <v>24</v>
      </c>
    </row>
    <row r="61" spans="6:10" ht="13.5" thickTop="1" x14ac:dyDescent="0.2">
      <c r="F61" s="8" t="s">
        <v>26</v>
      </c>
      <c r="G61" s="13">
        <f t="shared" ref="G61:G72" si="8">+G7+G25+G43</f>
        <v>928</v>
      </c>
      <c r="H61" s="37">
        <f>AVERAGE(H7,H25,H43)</f>
        <v>0.14517228062630372</v>
      </c>
      <c r="I61" s="13">
        <f t="shared" ref="I61:I72" si="9">+I7+I25+I43</f>
        <v>188</v>
      </c>
      <c r="J61" s="38">
        <f>+AVERAGE(J7,J25, J43)</f>
        <v>2.5681291413440749E-2</v>
      </c>
    </row>
    <row r="62" spans="6:10" x14ac:dyDescent="0.2">
      <c r="F62" s="6" t="s">
        <v>27</v>
      </c>
      <c r="G62" s="9">
        <f t="shared" si="8"/>
        <v>749</v>
      </c>
      <c r="H62" s="23">
        <f t="shared" ref="H62:H72" si="10">AVERAGE(H8,H26,H44)</f>
        <v>0.10794560299144394</v>
      </c>
      <c r="I62" s="9">
        <f t="shared" si="9"/>
        <v>292</v>
      </c>
      <c r="J62" s="40">
        <f t="shared" ref="J62:J72" si="11">+AVERAGE(J8,J26, J44)</f>
        <v>4.095837628017765E-2</v>
      </c>
    </row>
    <row r="63" spans="6:10" x14ac:dyDescent="0.2">
      <c r="F63" s="6" t="s">
        <v>28</v>
      </c>
      <c r="G63" s="9">
        <f t="shared" si="8"/>
        <v>430</v>
      </c>
      <c r="H63" s="23">
        <f t="shared" si="10"/>
        <v>6.9353560316528229E-2</v>
      </c>
      <c r="I63" s="9">
        <f t="shared" si="9"/>
        <v>192</v>
      </c>
      <c r="J63" s="40">
        <f t="shared" si="11"/>
        <v>2.946450065999448E-2</v>
      </c>
    </row>
    <row r="64" spans="6:10" x14ac:dyDescent="0.2">
      <c r="F64" s="6" t="s">
        <v>29</v>
      </c>
      <c r="G64" s="9">
        <f t="shared" si="8"/>
        <v>211</v>
      </c>
      <c r="H64" s="23">
        <f t="shared" si="10"/>
        <v>3.6834634671091465E-2</v>
      </c>
      <c r="I64" s="9">
        <f t="shared" si="9"/>
        <v>188</v>
      </c>
      <c r="J64" s="40">
        <f t="shared" si="11"/>
        <v>3.0639104827452374E-2</v>
      </c>
    </row>
    <row r="65" spans="6:10" x14ac:dyDescent="0.2">
      <c r="F65" s="6" t="s">
        <v>30</v>
      </c>
      <c r="G65" s="9">
        <f t="shared" si="8"/>
        <v>216</v>
      </c>
      <c r="H65" s="23">
        <f t="shared" si="10"/>
        <v>3.4697713031219636E-2</v>
      </c>
      <c r="I65" s="9">
        <f t="shared" si="9"/>
        <v>242</v>
      </c>
      <c r="J65" s="40">
        <f t="shared" si="11"/>
        <v>3.9068967663256508E-2</v>
      </c>
    </row>
    <row r="66" spans="6:10" x14ac:dyDescent="0.2">
      <c r="F66" s="6" t="s">
        <v>37</v>
      </c>
      <c r="G66" s="9">
        <f t="shared" si="8"/>
        <v>287</v>
      </c>
      <c r="H66" s="23">
        <f t="shared" si="10"/>
        <v>4.647840843086315E-2</v>
      </c>
      <c r="I66" s="9">
        <f t="shared" si="9"/>
        <v>359</v>
      </c>
      <c r="J66" s="40">
        <f t="shared" si="11"/>
        <v>5.8830588694396085E-2</v>
      </c>
    </row>
    <row r="67" spans="6:10" x14ac:dyDescent="0.2">
      <c r="F67" s="6" t="s">
        <v>31</v>
      </c>
      <c r="G67" s="9">
        <f t="shared" si="8"/>
        <v>446</v>
      </c>
      <c r="H67" s="23">
        <f t="shared" si="10"/>
        <v>7.0138590143372093E-2</v>
      </c>
      <c r="I67" s="9">
        <f t="shared" si="9"/>
        <v>462</v>
      </c>
      <c r="J67" s="40">
        <f t="shared" si="11"/>
        <v>6.9466644242560827E-2</v>
      </c>
    </row>
    <row r="68" spans="6:10" x14ac:dyDescent="0.2">
      <c r="F68" s="6" t="s">
        <v>32</v>
      </c>
      <c r="G68" s="9">
        <f t="shared" si="8"/>
        <v>379</v>
      </c>
      <c r="H68" s="23">
        <f t="shared" si="10"/>
        <v>5.4647520541043861E-2</v>
      </c>
      <c r="I68" s="9">
        <f t="shared" si="9"/>
        <v>257</v>
      </c>
      <c r="J68" s="40">
        <f t="shared" si="11"/>
        <v>3.9080181674590521E-2</v>
      </c>
    </row>
    <row r="69" spans="6:10" x14ac:dyDescent="0.2">
      <c r="F69" s="6" t="s">
        <v>33</v>
      </c>
      <c r="G69" s="9">
        <f t="shared" si="8"/>
        <v>428</v>
      </c>
      <c r="H69" s="23">
        <f t="shared" si="10"/>
        <v>6.6723148714141214E-2</v>
      </c>
      <c r="I69" s="9">
        <f t="shared" si="9"/>
        <v>596</v>
      </c>
      <c r="J69" s="40">
        <f t="shared" si="11"/>
        <v>7.8886100416063684E-2</v>
      </c>
    </row>
    <row r="70" spans="6:10" x14ac:dyDescent="0.2">
      <c r="F70" s="6" t="s">
        <v>34</v>
      </c>
      <c r="G70" s="9">
        <f t="shared" si="8"/>
        <v>392</v>
      </c>
      <c r="H70" s="23">
        <f t="shared" si="10"/>
        <v>6.2755939094139027E-2</v>
      </c>
      <c r="I70" s="9">
        <f t="shared" si="9"/>
        <v>956</v>
      </c>
      <c r="J70" s="40">
        <f t="shared" si="11"/>
        <v>0.15098434054821766</v>
      </c>
    </row>
    <row r="71" spans="6:10" x14ac:dyDescent="0.2">
      <c r="F71" s="6" t="s">
        <v>35</v>
      </c>
      <c r="G71" s="9">
        <f t="shared" si="8"/>
        <v>260</v>
      </c>
      <c r="H71" s="23">
        <f t="shared" si="10"/>
        <v>3.6965304432018072E-2</v>
      </c>
      <c r="I71" s="9">
        <f t="shared" si="9"/>
        <v>662</v>
      </c>
      <c r="J71" s="40">
        <f t="shared" si="11"/>
        <v>0.11195985013079675</v>
      </c>
    </row>
    <row r="72" spans="6:10" ht="13.5" thickBot="1" x14ac:dyDescent="0.25">
      <c r="F72" s="7" t="s">
        <v>36</v>
      </c>
      <c r="G72" s="18">
        <f t="shared" si="8"/>
        <v>204</v>
      </c>
      <c r="H72" s="95">
        <f t="shared" si="10"/>
        <v>2.7695035093247593E-2</v>
      </c>
      <c r="I72" s="18">
        <f t="shared" si="9"/>
        <v>577</v>
      </c>
      <c r="J72" s="42">
        <f t="shared" si="11"/>
        <v>8.4172886508080594E-2</v>
      </c>
    </row>
    <row r="73" spans="6:10" ht="13.5" thickTop="1" x14ac:dyDescent="0.2">
      <c r="F73" s="12" t="s">
        <v>25</v>
      </c>
      <c r="H73" s="21">
        <f>SUM(H61:H72)</f>
        <v>0.75940773808541184</v>
      </c>
      <c r="J73" s="21">
        <f>SUM(J61:J72)</f>
        <v>0.75919283305902807</v>
      </c>
    </row>
    <row r="74" spans="6:10" x14ac:dyDescent="0.2">
      <c r="F74" s="1" t="s">
        <v>21</v>
      </c>
      <c r="G74" s="11">
        <f>+G20+G38+G56</f>
        <v>6610</v>
      </c>
      <c r="H74" s="21"/>
      <c r="I74" s="11">
        <f>+I20+I38+I56</f>
        <v>6676</v>
      </c>
    </row>
    <row r="78" spans="6:10" x14ac:dyDescent="0.2">
      <c r="I78" s="10"/>
    </row>
    <row r="79" spans="6:10" x14ac:dyDescent="0.2">
      <c r="I79" s="10"/>
    </row>
    <row r="80" spans="6:10" x14ac:dyDescent="0.2">
      <c r="I80" s="10"/>
    </row>
    <row r="81" spans="6:9" x14ac:dyDescent="0.2">
      <c r="I81" s="59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10"/>
    </row>
    <row r="93" spans="6:9" x14ac:dyDescent="0.2">
      <c r="F93" s="45"/>
      <c r="G93" s="10"/>
      <c r="H93" s="10"/>
      <c r="I93" s="10"/>
    </row>
  </sheetData>
  <mergeCells count="7">
    <mergeCell ref="G59:J59"/>
    <mergeCell ref="C5:D5"/>
    <mergeCell ref="B5:B6"/>
    <mergeCell ref="B2:Z3"/>
    <mergeCell ref="G5:J5"/>
    <mergeCell ref="G23:J23"/>
    <mergeCell ref="G41:J4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Z119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283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63" t="s">
        <v>46</v>
      </c>
      <c r="D5" s="264"/>
      <c r="F5" s="2"/>
      <c r="G5" s="243" t="s">
        <v>138</v>
      </c>
      <c r="H5" s="244"/>
      <c r="I5" s="244"/>
      <c r="J5" s="245"/>
    </row>
    <row r="6" spans="2:26" ht="13.5" thickBot="1" x14ac:dyDescent="0.25">
      <c r="B6" s="249"/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51" t="s">
        <v>26</v>
      </c>
      <c r="C7" s="136">
        <v>4.2999999999999997E-2</v>
      </c>
      <c r="D7" s="137">
        <v>7.2999999999999995E-2</v>
      </c>
      <c r="F7" s="8" t="s">
        <v>12</v>
      </c>
      <c r="G7" s="13">
        <f>11+2</f>
        <v>13</v>
      </c>
      <c r="H7" s="14">
        <f>G7/$G$23</f>
        <v>4.0726817042606521E-2</v>
      </c>
      <c r="I7" s="13">
        <f>38+3</f>
        <v>41</v>
      </c>
      <c r="J7" s="15">
        <f t="shared" ref="J7:J17" si="0">I7/$I$23</f>
        <v>8.9676290463692035E-2</v>
      </c>
      <c r="L7" s="11">
        <f t="shared" ref="L7:L17" si="1">+G7+I7</f>
        <v>54</v>
      </c>
      <c r="M7" s="56">
        <f t="shared" ref="M7:M17" si="2">+L7/($G$23+$I$23)</f>
        <v>6.9551777434312206E-2</v>
      </c>
    </row>
    <row r="8" spans="2:26" x14ac:dyDescent="0.2">
      <c r="B8" s="152" t="s">
        <v>27</v>
      </c>
      <c r="C8" s="138">
        <v>7.9000000000000001E-2</v>
      </c>
      <c r="D8" s="119">
        <v>6.8000000000000005E-2</v>
      </c>
      <c r="F8" s="6" t="s">
        <v>1</v>
      </c>
      <c r="G8" s="9">
        <f>25+7</f>
        <v>32</v>
      </c>
      <c r="H8" s="16">
        <f t="shared" ref="H8:H19" si="3">G8/$G$23</f>
        <v>0.10025062656641605</v>
      </c>
      <c r="I8" s="9">
        <f>44+2</f>
        <v>46</v>
      </c>
      <c r="J8" s="17">
        <f t="shared" si="0"/>
        <v>0.10061242344706912</v>
      </c>
      <c r="L8" s="11">
        <f t="shared" si="1"/>
        <v>78</v>
      </c>
      <c r="M8" s="56">
        <f t="shared" si="2"/>
        <v>0.10046367851622875</v>
      </c>
    </row>
    <row r="9" spans="2:26" x14ac:dyDescent="0.2">
      <c r="B9" s="152" t="s">
        <v>28</v>
      </c>
      <c r="C9" s="149">
        <v>5.8000000000000003E-2</v>
      </c>
      <c r="D9" s="119">
        <v>6.5000000000000002E-2</v>
      </c>
      <c r="F9" s="6" t="s">
        <v>2</v>
      </c>
      <c r="G9" s="9">
        <f>12+5</f>
        <v>17</v>
      </c>
      <c r="H9" s="16">
        <f t="shared" si="3"/>
        <v>5.3258145363408525E-2</v>
      </c>
      <c r="I9" s="9">
        <f>28+5</f>
        <v>33</v>
      </c>
      <c r="J9" s="17">
        <f t="shared" si="0"/>
        <v>7.217847769028872E-2</v>
      </c>
      <c r="L9" s="11">
        <f t="shared" si="1"/>
        <v>50</v>
      </c>
      <c r="M9" s="56">
        <f t="shared" si="2"/>
        <v>6.4399793920659462E-2</v>
      </c>
    </row>
    <row r="10" spans="2:26" x14ac:dyDescent="0.2">
      <c r="B10" s="152" t="s">
        <v>29</v>
      </c>
      <c r="C10" s="149">
        <v>0.06</v>
      </c>
      <c r="D10" s="119">
        <v>0.06</v>
      </c>
      <c r="F10" s="6" t="s">
        <v>3</v>
      </c>
      <c r="G10" s="9">
        <f>19+1</f>
        <v>20</v>
      </c>
      <c r="H10" s="16">
        <f t="shared" si="3"/>
        <v>6.2656641604010022E-2</v>
      </c>
      <c r="I10" s="9">
        <f>20+7</f>
        <v>27</v>
      </c>
      <c r="J10" s="17">
        <f t="shared" si="0"/>
        <v>5.905511811023622E-2</v>
      </c>
      <c r="L10" s="11">
        <f t="shared" si="1"/>
        <v>47</v>
      </c>
      <c r="M10" s="56">
        <f t="shared" si="2"/>
        <v>6.0535806285419887E-2</v>
      </c>
    </row>
    <row r="11" spans="2:26" x14ac:dyDescent="0.2">
      <c r="B11" s="152" t="s">
        <v>30</v>
      </c>
      <c r="C11" s="149">
        <v>4.4999999999999998E-2</v>
      </c>
      <c r="D11" s="119">
        <v>3.7999999999999999E-2</v>
      </c>
      <c r="F11" s="6" t="s">
        <v>4</v>
      </c>
      <c r="G11" s="9">
        <f>12+0</f>
        <v>12</v>
      </c>
      <c r="H11" s="16">
        <f t="shared" si="3"/>
        <v>3.7593984962406013E-2</v>
      </c>
      <c r="I11" s="9">
        <f>15+2</f>
        <v>17</v>
      </c>
      <c r="J11" s="17">
        <f t="shared" si="0"/>
        <v>3.7182852143482069E-2</v>
      </c>
      <c r="L11" s="11">
        <f t="shared" si="1"/>
        <v>29</v>
      </c>
      <c r="M11" s="56">
        <f t="shared" si="2"/>
        <v>3.7351880473982482E-2</v>
      </c>
    </row>
    <row r="12" spans="2:26" x14ac:dyDescent="0.2">
      <c r="B12" s="152" t="s">
        <v>37</v>
      </c>
      <c r="C12" s="149">
        <v>6.6000000000000003E-2</v>
      </c>
      <c r="D12" s="119">
        <v>4.8000000000000001E-2</v>
      </c>
      <c r="F12" s="6" t="s">
        <v>5</v>
      </c>
      <c r="G12" s="9">
        <f>16+5</f>
        <v>21</v>
      </c>
      <c r="H12" s="16">
        <f t="shared" si="3"/>
        <v>6.5789473684210523E-2</v>
      </c>
      <c r="I12" s="9">
        <f>15+1</f>
        <v>16</v>
      </c>
      <c r="J12" s="17">
        <f t="shared" si="0"/>
        <v>3.4995625546806651E-2</v>
      </c>
      <c r="L12" s="11">
        <f t="shared" si="1"/>
        <v>37</v>
      </c>
      <c r="M12" s="56">
        <f t="shared" si="2"/>
        <v>4.7655847501287998E-2</v>
      </c>
    </row>
    <row r="13" spans="2:26" x14ac:dyDescent="0.2">
      <c r="B13" s="152" t="s">
        <v>31</v>
      </c>
      <c r="C13" s="149">
        <v>6.9000000000000006E-2</v>
      </c>
      <c r="D13" s="119">
        <v>0.08</v>
      </c>
      <c r="F13" s="6" t="s">
        <v>6</v>
      </c>
      <c r="G13" s="9">
        <f>14+1</f>
        <v>15</v>
      </c>
      <c r="H13" s="16">
        <f t="shared" si="3"/>
        <v>4.6992481203007523E-2</v>
      </c>
      <c r="I13" s="9">
        <f>20+6</f>
        <v>26</v>
      </c>
      <c r="J13" s="17">
        <f t="shared" si="0"/>
        <v>5.6867891513560809E-2</v>
      </c>
      <c r="L13" s="11">
        <f t="shared" si="1"/>
        <v>41</v>
      </c>
      <c r="M13" s="56">
        <f t="shared" si="2"/>
        <v>5.2807831014940756E-2</v>
      </c>
    </row>
    <row r="14" spans="2:26" x14ac:dyDescent="0.2">
      <c r="B14" s="152" t="s">
        <v>32</v>
      </c>
      <c r="C14" s="149">
        <v>4.8000000000000001E-2</v>
      </c>
      <c r="D14" s="119">
        <v>6.5000000000000002E-2</v>
      </c>
      <c r="F14" s="6" t="s">
        <v>7</v>
      </c>
      <c r="G14" s="9">
        <f>4+3</f>
        <v>7</v>
      </c>
      <c r="H14" s="16">
        <f t="shared" si="3"/>
        <v>2.1929824561403511E-2</v>
      </c>
      <c r="I14" s="9">
        <f>16+1</f>
        <v>17</v>
      </c>
      <c r="J14" s="17">
        <f t="shared" si="0"/>
        <v>3.7182852143482069E-2</v>
      </c>
      <c r="L14" s="11">
        <f t="shared" si="1"/>
        <v>24</v>
      </c>
      <c r="M14" s="56">
        <f t="shared" si="2"/>
        <v>3.0911901081916538E-2</v>
      </c>
    </row>
    <row r="15" spans="2:26" x14ac:dyDescent="0.2">
      <c r="B15" s="152" t="s">
        <v>33</v>
      </c>
      <c r="C15" s="149">
        <v>6.8000000000000005E-2</v>
      </c>
      <c r="D15" s="119">
        <v>8.8999999999999996E-2</v>
      </c>
      <c r="F15" s="6" t="s">
        <v>8</v>
      </c>
      <c r="G15" s="9">
        <f>16+2</f>
        <v>18</v>
      </c>
      <c r="H15" s="16">
        <f t="shared" si="3"/>
        <v>5.6390977443609026E-2</v>
      </c>
      <c r="I15" s="9">
        <f>33+16</f>
        <v>49</v>
      </c>
      <c r="J15" s="17">
        <f t="shared" si="0"/>
        <v>0.10717410323709536</v>
      </c>
      <c r="L15" s="11">
        <f t="shared" si="1"/>
        <v>67</v>
      </c>
      <c r="M15" s="56">
        <f t="shared" si="2"/>
        <v>8.629572385368367E-2</v>
      </c>
    </row>
    <row r="16" spans="2:26" x14ac:dyDescent="0.2">
      <c r="B16" s="152" t="s">
        <v>34</v>
      </c>
      <c r="C16" s="149">
        <v>7.9000000000000001E-2</v>
      </c>
      <c r="D16" s="119">
        <v>7.6999999999999999E-2</v>
      </c>
      <c r="F16" s="6" t="s">
        <v>9</v>
      </c>
      <c r="G16" s="9">
        <f>12+7</f>
        <v>19</v>
      </c>
      <c r="H16" s="16">
        <f t="shared" si="3"/>
        <v>5.9523809523809527E-2</v>
      </c>
      <c r="I16" s="9">
        <f>21+2</f>
        <v>23</v>
      </c>
      <c r="J16" s="17">
        <f t="shared" si="0"/>
        <v>5.0306211723534562E-2</v>
      </c>
      <c r="L16" s="11">
        <f t="shared" si="1"/>
        <v>42</v>
      </c>
      <c r="M16" s="56">
        <f t="shared" si="2"/>
        <v>5.4095826893353946E-2</v>
      </c>
    </row>
    <row r="17" spans="2:13" x14ac:dyDescent="0.2">
      <c r="B17" s="152" t="s">
        <v>35</v>
      </c>
      <c r="C17" s="149">
        <v>7.1999999999999995E-2</v>
      </c>
      <c r="D17" s="119">
        <v>5.6000000000000001E-2</v>
      </c>
      <c r="F17" s="6" t="s">
        <v>10</v>
      </c>
      <c r="G17" s="9">
        <f>23+3</f>
        <v>26</v>
      </c>
      <c r="H17" s="16">
        <f t="shared" si="3"/>
        <v>8.1453634085213042E-2</v>
      </c>
      <c r="I17" s="9">
        <f>16+1</f>
        <v>17</v>
      </c>
      <c r="J17" s="17">
        <f t="shared" si="0"/>
        <v>3.7182852143482069E-2</v>
      </c>
      <c r="L17" s="11">
        <f t="shared" si="1"/>
        <v>43</v>
      </c>
      <c r="M17" s="56">
        <f t="shared" si="2"/>
        <v>5.5383822771767129E-2</v>
      </c>
    </row>
    <row r="18" spans="2:13" x14ac:dyDescent="0.2">
      <c r="B18" s="152" t="s">
        <v>36</v>
      </c>
      <c r="C18" s="149">
        <v>7.0999999999999994E-2</v>
      </c>
      <c r="D18" s="119">
        <v>0.06</v>
      </c>
      <c r="F18" s="6" t="s">
        <v>11</v>
      </c>
      <c r="G18" s="9">
        <f>17+6</f>
        <v>23</v>
      </c>
      <c r="H18" s="16">
        <f t="shared" si="3"/>
        <v>7.2055137844611525E-2</v>
      </c>
      <c r="I18" s="9">
        <f>16+9</f>
        <v>25</v>
      </c>
      <c r="J18" s="17">
        <f>I18/$I$23</f>
        <v>5.4680664916885391E-2</v>
      </c>
      <c r="L18" s="11">
        <f>+G18+I18</f>
        <v>48</v>
      </c>
      <c r="M18" s="56">
        <f>+L18/($G$23+$I$23)</f>
        <v>6.1823802163833076E-2</v>
      </c>
    </row>
    <row r="19" spans="2:13" x14ac:dyDescent="0.2">
      <c r="B19" s="152" t="s">
        <v>141</v>
      </c>
      <c r="C19" s="149">
        <v>7.4999999999999997E-2</v>
      </c>
      <c r="D19" s="119">
        <v>5.8999999999999997E-2</v>
      </c>
      <c r="F19" s="90" t="s">
        <v>12</v>
      </c>
      <c r="G19" s="9">
        <f>21+3</f>
        <v>24</v>
      </c>
      <c r="H19" s="22">
        <f t="shared" si="3"/>
        <v>7.5187969924812026E-2</v>
      </c>
      <c r="I19" s="4">
        <f>24+3</f>
        <v>27</v>
      </c>
      <c r="J19" s="17">
        <f>I19/$I$23</f>
        <v>5.905511811023622E-2</v>
      </c>
      <c r="L19" s="11">
        <f>+G19+I19</f>
        <v>51</v>
      </c>
      <c r="M19" s="56">
        <f>+L19/($G$23+$I$23)</f>
        <v>6.5687789799072652E-2</v>
      </c>
    </row>
    <row r="20" spans="2:13" ht="13.5" thickBot="1" x14ac:dyDescent="0.25">
      <c r="B20" s="153" t="s">
        <v>142</v>
      </c>
      <c r="C20" s="150">
        <v>0.06</v>
      </c>
      <c r="D20" s="141">
        <v>3.6999999999999998E-2</v>
      </c>
      <c r="F20" s="91" t="s">
        <v>1</v>
      </c>
      <c r="G20" s="18">
        <f>18+1</f>
        <v>19</v>
      </c>
      <c r="H20" s="19">
        <f>G20/$G$23</f>
        <v>5.9523809523809527E-2</v>
      </c>
      <c r="I20" s="92">
        <f>11+6</f>
        <v>17</v>
      </c>
      <c r="J20" s="20">
        <f>I20/$I$23</f>
        <v>3.7182852143482069E-2</v>
      </c>
      <c r="L20" s="11">
        <f>+G20+I20</f>
        <v>36</v>
      </c>
      <c r="M20" s="56">
        <f>+L20/($G$23+$I$23)</f>
        <v>4.6367851622874809E-2</v>
      </c>
    </row>
    <row r="21" spans="2:13" ht="13.5" thickBot="1" x14ac:dyDescent="0.25">
      <c r="B21" s="148"/>
      <c r="C21" s="125">
        <f>SUM(C7:C20)</f>
        <v>0.89299999999999979</v>
      </c>
      <c r="D21" s="126">
        <f>SUM(D7:D20)</f>
        <v>0.87499999999999989</v>
      </c>
    </row>
    <row r="22" spans="2:13" ht="13.5" thickTop="1" x14ac:dyDescent="0.2">
      <c r="F22" s="1" t="s">
        <v>139</v>
      </c>
      <c r="H22" s="21">
        <f>SUM(H7:H20)</f>
        <v>0.83333333333333326</v>
      </c>
      <c r="J22" s="21">
        <f>SUM(J7:J20)</f>
        <v>0.83333333333333326</v>
      </c>
    </row>
    <row r="23" spans="2:13" x14ac:dyDescent="0.2">
      <c r="F23" s="1" t="s">
        <v>21</v>
      </c>
      <c r="G23" s="64">
        <f>1.2*(SUM(G7:G20))</f>
        <v>319.2</v>
      </c>
      <c r="H23" s="21"/>
      <c r="I23" s="64">
        <f>1.2*(SUM(I7:I20))</f>
        <v>457.2</v>
      </c>
      <c r="J23" s="21"/>
    </row>
    <row r="24" spans="2:13" x14ac:dyDescent="0.2">
      <c r="B24" s="154" t="s">
        <v>168</v>
      </c>
      <c r="F24" s="1" t="s">
        <v>140</v>
      </c>
      <c r="H24" s="21"/>
      <c r="J24" s="21"/>
    </row>
    <row r="25" spans="2:13" ht="13.5" thickBot="1" x14ac:dyDescent="0.25">
      <c r="F25" s="1"/>
    </row>
    <row r="26" spans="2:13" ht="13.5" thickTop="1" x14ac:dyDescent="0.2">
      <c r="F26" s="2"/>
      <c r="G26" s="243" t="s">
        <v>153</v>
      </c>
      <c r="H26" s="244"/>
      <c r="I26" s="244"/>
      <c r="J26" s="245"/>
    </row>
    <row r="27" spans="2:13" ht="13.5" thickBot="1" x14ac:dyDescent="0.25">
      <c r="F27" s="3" t="s">
        <v>0</v>
      </c>
      <c r="G27" s="9" t="s">
        <v>13</v>
      </c>
      <c r="H27" s="4" t="s">
        <v>14</v>
      </c>
      <c r="I27" s="9" t="s">
        <v>15</v>
      </c>
      <c r="J27" s="5" t="s">
        <v>16</v>
      </c>
    </row>
    <row r="28" spans="2:13" ht="13.5" thickTop="1" x14ac:dyDescent="0.2">
      <c r="F28" s="8" t="s">
        <v>12</v>
      </c>
      <c r="G28" s="13">
        <f>9+12+6</f>
        <v>27</v>
      </c>
      <c r="H28" s="14">
        <f>G28/G41</f>
        <v>4.4999999999999998E-2</v>
      </c>
      <c r="I28" s="13">
        <f>10+6</f>
        <v>16</v>
      </c>
      <c r="J28" s="15">
        <f>I28/I41</f>
        <v>5.7142857142857141E-2</v>
      </c>
    </row>
    <row r="29" spans="2:13" x14ac:dyDescent="0.2">
      <c r="F29" s="6" t="s">
        <v>1</v>
      </c>
      <c r="G29" s="9">
        <f>11+4+20</f>
        <v>35</v>
      </c>
      <c r="H29" s="16">
        <f t="shared" ref="H29:H39" si="4">G29/$G$41</f>
        <v>5.8333333333333334E-2</v>
      </c>
      <c r="I29" s="9">
        <f>6+4</f>
        <v>10</v>
      </c>
      <c r="J29" s="17">
        <f t="shared" ref="J29:J39" si="5">I29/$I$41</f>
        <v>3.5714285714285712E-2</v>
      </c>
    </row>
    <row r="30" spans="2:13" x14ac:dyDescent="0.2">
      <c r="F30" s="6" t="s">
        <v>2</v>
      </c>
      <c r="G30" s="9">
        <f>13+7+17</f>
        <v>37</v>
      </c>
      <c r="H30" s="16">
        <f t="shared" si="4"/>
        <v>6.1666666666666668E-2</v>
      </c>
      <c r="I30" s="9">
        <f>7+7+2</f>
        <v>16</v>
      </c>
      <c r="J30" s="17">
        <f t="shared" si="5"/>
        <v>5.7142857142857141E-2</v>
      </c>
    </row>
    <row r="31" spans="2:13" x14ac:dyDescent="0.2">
      <c r="F31" s="6" t="s">
        <v>3</v>
      </c>
      <c r="G31" s="9">
        <f>7+9+18</f>
        <v>34</v>
      </c>
      <c r="H31" s="16">
        <f t="shared" si="4"/>
        <v>5.6666666666666664E-2</v>
      </c>
      <c r="I31" s="9">
        <f>12+1+4</f>
        <v>17</v>
      </c>
      <c r="J31" s="17">
        <f t="shared" si="5"/>
        <v>6.0714285714285714E-2</v>
      </c>
    </row>
    <row r="32" spans="2:13" x14ac:dyDescent="0.2">
      <c r="F32" s="6" t="s">
        <v>4</v>
      </c>
      <c r="G32" s="9">
        <f>4+10+17</f>
        <v>31</v>
      </c>
      <c r="H32" s="16">
        <f t="shared" si="4"/>
        <v>5.1666666666666666E-2</v>
      </c>
      <c r="I32" s="9">
        <f>6+3+2</f>
        <v>11</v>
      </c>
      <c r="J32" s="17">
        <f t="shared" si="5"/>
        <v>3.9285714285714285E-2</v>
      </c>
    </row>
    <row r="33" spans="6:10" x14ac:dyDescent="0.2">
      <c r="F33" s="6" t="s">
        <v>5</v>
      </c>
      <c r="G33" s="9">
        <f>6+16+18</f>
        <v>40</v>
      </c>
      <c r="H33" s="16">
        <f t="shared" si="4"/>
        <v>6.6666666666666666E-2</v>
      </c>
      <c r="I33" s="9">
        <f>11+2+4</f>
        <v>17</v>
      </c>
      <c r="J33" s="17">
        <f t="shared" si="5"/>
        <v>6.0714285714285714E-2</v>
      </c>
    </row>
    <row r="34" spans="6:10" x14ac:dyDescent="0.2">
      <c r="F34" s="6" t="s">
        <v>6</v>
      </c>
      <c r="G34" s="9">
        <f>9+14+32</f>
        <v>55</v>
      </c>
      <c r="H34" s="16">
        <f t="shared" si="4"/>
        <v>9.166666666666666E-2</v>
      </c>
      <c r="I34" s="9">
        <f>16+7+6</f>
        <v>29</v>
      </c>
      <c r="J34" s="17">
        <f t="shared" si="5"/>
        <v>0.10357142857142858</v>
      </c>
    </row>
    <row r="35" spans="6:10" x14ac:dyDescent="0.2">
      <c r="F35" s="6" t="s">
        <v>7</v>
      </c>
      <c r="G35" s="9">
        <f>5+19+20</f>
        <v>44</v>
      </c>
      <c r="H35" s="16">
        <f t="shared" si="4"/>
        <v>7.3333333333333334E-2</v>
      </c>
      <c r="I35" s="9">
        <f>13+8+5</f>
        <v>26</v>
      </c>
      <c r="J35" s="17">
        <f t="shared" si="5"/>
        <v>9.285714285714286E-2</v>
      </c>
    </row>
    <row r="36" spans="6:10" x14ac:dyDescent="0.2">
      <c r="F36" s="6" t="s">
        <v>8</v>
      </c>
      <c r="G36" s="9">
        <f>11+18+19</f>
        <v>48</v>
      </c>
      <c r="H36" s="16">
        <f t="shared" si="4"/>
        <v>0.08</v>
      </c>
      <c r="I36" s="9">
        <f>14+1+5</f>
        <v>20</v>
      </c>
      <c r="J36" s="17">
        <f t="shared" si="5"/>
        <v>7.1428571428571425E-2</v>
      </c>
    </row>
    <row r="37" spans="6:10" x14ac:dyDescent="0.2">
      <c r="F37" s="6" t="s">
        <v>9</v>
      </c>
      <c r="G37" s="9">
        <f>8+14+37</f>
        <v>59</v>
      </c>
      <c r="H37" s="16">
        <f t="shared" si="4"/>
        <v>9.8333333333333328E-2</v>
      </c>
      <c r="I37" s="9">
        <f>13+11+5</f>
        <v>29</v>
      </c>
      <c r="J37" s="17">
        <f t="shared" si="5"/>
        <v>0.10357142857142858</v>
      </c>
    </row>
    <row r="38" spans="6:10" x14ac:dyDescent="0.2">
      <c r="F38" s="6" t="s">
        <v>10</v>
      </c>
      <c r="G38" s="9">
        <f>9+11+17</f>
        <v>37</v>
      </c>
      <c r="H38" s="16">
        <f t="shared" si="4"/>
        <v>6.1666666666666668E-2</v>
      </c>
      <c r="I38" s="9">
        <f>11+8+2</f>
        <v>21</v>
      </c>
      <c r="J38" s="17">
        <f t="shared" si="5"/>
        <v>7.4999999999999997E-2</v>
      </c>
    </row>
    <row r="39" spans="6:10" ht="13.5" thickBot="1" x14ac:dyDescent="0.25">
      <c r="F39" s="7" t="s">
        <v>11</v>
      </c>
      <c r="G39" s="18">
        <f>5+14+23</f>
        <v>42</v>
      </c>
      <c r="H39" s="19">
        <f t="shared" si="4"/>
        <v>7.0000000000000007E-2</v>
      </c>
      <c r="I39" s="18">
        <f>17+0+1</f>
        <v>18</v>
      </c>
      <c r="J39" s="20">
        <f t="shared" si="5"/>
        <v>6.4285714285714279E-2</v>
      </c>
    </row>
    <row r="40" spans="6:10" ht="13.5" thickTop="1" x14ac:dyDescent="0.2">
      <c r="F40" s="12" t="s">
        <v>155</v>
      </c>
      <c r="G40" s="11">
        <f>97+148+244</f>
        <v>489</v>
      </c>
      <c r="H40" s="21">
        <f>SUM(H28:H39)</f>
        <v>0.81499999999999995</v>
      </c>
      <c r="I40" s="11">
        <f>136+58+36</f>
        <v>230</v>
      </c>
      <c r="J40" s="21">
        <f>SUM(J28:J39)</f>
        <v>0.82142857142857129</v>
      </c>
    </row>
    <row r="41" spans="6:10" x14ac:dyDescent="0.2">
      <c r="F41" s="1" t="s">
        <v>21</v>
      </c>
      <c r="G41" s="11">
        <f>120+180+300</f>
        <v>600</v>
      </c>
      <c r="H41" s="21"/>
      <c r="I41" s="11">
        <f>170+70+40</f>
        <v>280</v>
      </c>
      <c r="J41" s="21"/>
    </row>
    <row r="42" spans="6:10" x14ac:dyDescent="0.2">
      <c r="F42" s="1" t="s">
        <v>154</v>
      </c>
      <c r="H42" s="21"/>
      <c r="J42" s="21"/>
    </row>
    <row r="43" spans="6:10" ht="13.5" thickBot="1" x14ac:dyDescent="0.25"/>
    <row r="44" spans="6:10" ht="13.5" thickTop="1" x14ac:dyDescent="0.2">
      <c r="F44" s="2"/>
      <c r="G44" s="243"/>
      <c r="H44" s="244"/>
      <c r="I44" s="244"/>
      <c r="J44" s="245"/>
    </row>
    <row r="45" spans="6:10" ht="13.5" thickBot="1" x14ac:dyDescent="0.25">
      <c r="F45" s="3" t="s">
        <v>0</v>
      </c>
      <c r="G45" s="9" t="s">
        <v>13</v>
      </c>
      <c r="H45" s="4" t="s">
        <v>14</v>
      </c>
      <c r="I45" s="9" t="s">
        <v>15</v>
      </c>
      <c r="J45" s="5" t="s">
        <v>16</v>
      </c>
    </row>
    <row r="46" spans="6:10" ht="13.5" thickTop="1" x14ac:dyDescent="0.2">
      <c r="F46" s="8" t="s">
        <v>12</v>
      </c>
      <c r="G46" s="13"/>
      <c r="H46" s="14" t="e">
        <f>G46/G59</f>
        <v>#DIV/0!</v>
      </c>
      <c r="I46" s="13"/>
      <c r="J46" s="15" t="e">
        <f>I46/I59</f>
        <v>#DIV/0!</v>
      </c>
    </row>
    <row r="47" spans="6:10" x14ac:dyDescent="0.2">
      <c r="F47" s="6" t="s">
        <v>1</v>
      </c>
      <c r="G47" s="9"/>
      <c r="H47" s="16" t="e">
        <f t="shared" ref="H47:H57" si="6">G47/$G$59</f>
        <v>#DIV/0!</v>
      </c>
      <c r="I47" s="9"/>
      <c r="J47" s="17" t="e">
        <f t="shared" ref="J47:J57" si="7">I47/$I$59</f>
        <v>#DIV/0!</v>
      </c>
    </row>
    <row r="48" spans="6:10" x14ac:dyDescent="0.2">
      <c r="F48" s="6" t="s">
        <v>2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3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4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5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6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7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x14ac:dyDescent="0.2">
      <c r="F54" s="6" t="s">
        <v>8</v>
      </c>
      <c r="G54" s="9"/>
      <c r="H54" s="16" t="e">
        <f t="shared" si="6"/>
        <v>#DIV/0!</v>
      </c>
      <c r="I54" s="9"/>
      <c r="J54" s="17" t="e">
        <f t="shared" si="7"/>
        <v>#DIV/0!</v>
      </c>
    </row>
    <row r="55" spans="6:10" x14ac:dyDescent="0.2">
      <c r="F55" s="6" t="s">
        <v>9</v>
      </c>
      <c r="G55" s="9"/>
      <c r="H55" s="16" t="e">
        <f t="shared" si="6"/>
        <v>#DIV/0!</v>
      </c>
      <c r="I55" s="9"/>
      <c r="J55" s="17" t="e">
        <f t="shared" si="7"/>
        <v>#DIV/0!</v>
      </c>
    </row>
    <row r="56" spans="6:10" x14ac:dyDescent="0.2">
      <c r="F56" s="6" t="s">
        <v>10</v>
      </c>
      <c r="G56" s="9"/>
      <c r="H56" s="16" t="e">
        <f t="shared" si="6"/>
        <v>#DIV/0!</v>
      </c>
      <c r="I56" s="9"/>
      <c r="J56" s="17" t="e">
        <f t="shared" si="7"/>
        <v>#DIV/0!</v>
      </c>
    </row>
    <row r="57" spans="6:10" ht="13.5" thickBot="1" x14ac:dyDescent="0.25">
      <c r="F57" s="7" t="s">
        <v>11</v>
      </c>
      <c r="G57" s="18"/>
      <c r="H57" s="19" t="e">
        <f t="shared" si="6"/>
        <v>#DIV/0!</v>
      </c>
      <c r="I57" s="18"/>
      <c r="J57" s="20" t="e">
        <f t="shared" si="7"/>
        <v>#DIV/0!</v>
      </c>
    </row>
    <row r="58" spans="6:10" ht="13.5" thickTop="1" x14ac:dyDescent="0.2">
      <c r="F58" s="12"/>
      <c r="H58" s="21" t="e">
        <f>SUM(H46:H57)</f>
        <v>#DIV/0!</v>
      </c>
      <c r="J58" s="21" t="e">
        <f>SUM(J46:J57)</f>
        <v>#DIV/0!</v>
      </c>
    </row>
    <row r="59" spans="6:10" x14ac:dyDescent="0.2">
      <c r="F59" s="1" t="s">
        <v>21</v>
      </c>
      <c r="H59" s="21"/>
    </row>
    <row r="60" spans="6:10" x14ac:dyDescent="0.2">
      <c r="F60" s="1" t="s">
        <v>82</v>
      </c>
    </row>
    <row r="62" spans="6:10" ht="13.5" thickBot="1" x14ac:dyDescent="0.25"/>
    <row r="63" spans="6:10" ht="13.5" thickTop="1" x14ac:dyDescent="0.2">
      <c r="F63" s="2"/>
      <c r="G63" s="243" t="s">
        <v>22</v>
      </c>
      <c r="H63" s="244"/>
      <c r="I63" s="244"/>
      <c r="J63" s="245"/>
    </row>
    <row r="64" spans="6:10" ht="13.5" thickBot="1" x14ac:dyDescent="0.25">
      <c r="F64" s="3" t="s">
        <v>0</v>
      </c>
      <c r="G64" s="9" t="s">
        <v>13</v>
      </c>
      <c r="H64" s="4" t="s">
        <v>23</v>
      </c>
      <c r="I64" s="9" t="s">
        <v>15</v>
      </c>
      <c r="J64" s="5" t="s">
        <v>24</v>
      </c>
    </row>
    <row r="65" spans="6:10" ht="13.5" thickTop="1" x14ac:dyDescent="0.2">
      <c r="F65" s="8" t="s">
        <v>26</v>
      </c>
      <c r="G65" s="13">
        <f t="shared" ref="G65:G78" si="8">+G7+G28+G46</f>
        <v>40</v>
      </c>
      <c r="H65" s="14">
        <f>AVERAGE(H7,H28)</f>
        <v>4.2863408521303256E-2</v>
      </c>
      <c r="I65" s="13">
        <f t="shared" ref="I65:I78" si="9">+I7+I28+I46</f>
        <v>57</v>
      </c>
      <c r="J65" s="15">
        <f>+AVERAGE(J7,J28)</f>
        <v>7.3409573803274591E-2</v>
      </c>
    </row>
    <row r="66" spans="6:10" x14ac:dyDescent="0.2">
      <c r="F66" s="6" t="s">
        <v>27</v>
      </c>
      <c r="G66" s="9">
        <f t="shared" si="8"/>
        <v>67</v>
      </c>
      <c r="H66" s="22">
        <f t="shared" ref="H66:H76" si="10">AVERAGE(H8,H29)</f>
        <v>7.9291979949874691E-2</v>
      </c>
      <c r="I66" s="9">
        <f t="shared" si="9"/>
        <v>56</v>
      </c>
      <c r="J66" s="17">
        <f t="shared" ref="J66:J76" si="11">+AVERAGE(J8,J29)</f>
        <v>6.8163354580677418E-2</v>
      </c>
    </row>
    <row r="67" spans="6:10" x14ac:dyDescent="0.2">
      <c r="F67" s="6" t="s">
        <v>28</v>
      </c>
      <c r="G67" s="9">
        <f t="shared" si="8"/>
        <v>54</v>
      </c>
      <c r="H67" s="22">
        <f t="shared" si="10"/>
        <v>5.7462406015037597E-2</v>
      </c>
      <c r="I67" s="9">
        <f t="shared" si="9"/>
        <v>49</v>
      </c>
      <c r="J67" s="17">
        <f t="shared" si="11"/>
        <v>6.4660667416572934E-2</v>
      </c>
    </row>
    <row r="68" spans="6:10" x14ac:dyDescent="0.2">
      <c r="F68" s="6" t="s">
        <v>29</v>
      </c>
      <c r="G68" s="9">
        <f t="shared" si="8"/>
        <v>54</v>
      </c>
      <c r="H68" s="22">
        <f t="shared" si="10"/>
        <v>5.9661654135338346E-2</v>
      </c>
      <c r="I68" s="9">
        <f t="shared" si="9"/>
        <v>44</v>
      </c>
      <c r="J68" s="17">
        <f t="shared" si="11"/>
        <v>5.9884701912260967E-2</v>
      </c>
    </row>
    <row r="69" spans="6:10" x14ac:dyDescent="0.2">
      <c r="F69" s="6" t="s">
        <v>30</v>
      </c>
      <c r="G69" s="9">
        <f t="shared" si="8"/>
        <v>43</v>
      </c>
      <c r="H69" s="22">
        <f t="shared" si="10"/>
        <v>4.463032581453634E-2</v>
      </c>
      <c r="I69" s="9">
        <f t="shared" si="9"/>
        <v>28</v>
      </c>
      <c r="J69" s="17">
        <f t="shared" si="11"/>
        <v>3.823428321459818E-2</v>
      </c>
    </row>
    <row r="70" spans="6:10" x14ac:dyDescent="0.2">
      <c r="F70" s="6" t="s">
        <v>37</v>
      </c>
      <c r="G70" s="9">
        <f t="shared" si="8"/>
        <v>61</v>
      </c>
      <c r="H70" s="22">
        <f t="shared" si="10"/>
        <v>6.6228070175438594E-2</v>
      </c>
      <c r="I70" s="9">
        <f t="shared" si="9"/>
        <v>33</v>
      </c>
      <c r="J70" s="17">
        <f t="shared" si="11"/>
        <v>4.7854955630546182E-2</v>
      </c>
    </row>
    <row r="71" spans="6:10" x14ac:dyDescent="0.2">
      <c r="F71" s="6" t="s">
        <v>31</v>
      </c>
      <c r="G71" s="9">
        <f t="shared" si="8"/>
        <v>70</v>
      </c>
      <c r="H71" s="22">
        <f t="shared" si="10"/>
        <v>6.9329573934837088E-2</v>
      </c>
      <c r="I71" s="9">
        <f t="shared" si="9"/>
        <v>55</v>
      </c>
      <c r="J71" s="17">
        <f t="shared" si="11"/>
        <v>8.02196600424947E-2</v>
      </c>
    </row>
    <row r="72" spans="6:10" x14ac:dyDescent="0.2">
      <c r="F72" s="6" t="s">
        <v>32</v>
      </c>
      <c r="G72" s="9">
        <f t="shared" si="8"/>
        <v>51</v>
      </c>
      <c r="H72" s="22">
        <f t="shared" si="10"/>
        <v>4.7631578947368421E-2</v>
      </c>
      <c r="I72" s="9">
        <f t="shared" si="9"/>
        <v>43</v>
      </c>
      <c r="J72" s="17">
        <f t="shared" si="11"/>
        <v>6.5019997500312468E-2</v>
      </c>
    </row>
    <row r="73" spans="6:10" x14ac:dyDescent="0.2">
      <c r="F73" s="6" t="s">
        <v>33</v>
      </c>
      <c r="G73" s="9">
        <f t="shared" si="8"/>
        <v>66</v>
      </c>
      <c r="H73" s="22">
        <f t="shared" si="10"/>
        <v>6.8195488721804517E-2</v>
      </c>
      <c r="I73" s="9">
        <f t="shared" si="9"/>
        <v>69</v>
      </c>
      <c r="J73" s="17">
        <f t="shared" si="11"/>
        <v>8.9301337332833394E-2</v>
      </c>
    </row>
    <row r="74" spans="6:10" x14ac:dyDescent="0.2">
      <c r="F74" s="6" t="s">
        <v>34</v>
      </c>
      <c r="G74" s="9">
        <f t="shared" si="8"/>
        <v>78</v>
      </c>
      <c r="H74" s="22">
        <f t="shared" si="10"/>
        <v>7.8928571428571431E-2</v>
      </c>
      <c r="I74" s="9">
        <f t="shared" si="9"/>
        <v>52</v>
      </c>
      <c r="J74" s="17">
        <f t="shared" si="11"/>
        <v>7.6938820147481574E-2</v>
      </c>
    </row>
    <row r="75" spans="6:10" x14ac:dyDescent="0.2">
      <c r="F75" s="6" t="s">
        <v>35</v>
      </c>
      <c r="G75" s="9">
        <f t="shared" si="8"/>
        <v>63</v>
      </c>
      <c r="H75" s="22">
        <f t="shared" si="10"/>
        <v>7.1560150375939852E-2</v>
      </c>
      <c r="I75" s="9">
        <f t="shared" si="9"/>
        <v>38</v>
      </c>
      <c r="J75" s="17">
        <f t="shared" si="11"/>
        <v>5.609142607174103E-2</v>
      </c>
    </row>
    <row r="76" spans="6:10" x14ac:dyDescent="0.2">
      <c r="F76" s="6" t="s">
        <v>36</v>
      </c>
      <c r="G76" s="9">
        <f t="shared" si="8"/>
        <v>65</v>
      </c>
      <c r="H76" s="22">
        <f t="shared" si="10"/>
        <v>7.1027568922305773E-2</v>
      </c>
      <c r="I76" s="9">
        <f t="shared" si="9"/>
        <v>43</v>
      </c>
      <c r="J76" s="17">
        <f t="shared" si="11"/>
        <v>5.9483189601299835E-2</v>
      </c>
    </row>
    <row r="77" spans="6:10" x14ac:dyDescent="0.2">
      <c r="F77" s="93" t="s">
        <v>141</v>
      </c>
      <c r="G77" s="9">
        <f t="shared" si="8"/>
        <v>513</v>
      </c>
      <c r="H77" s="22">
        <f>AVERAGE(H19)</f>
        <v>7.5187969924812026E-2</v>
      </c>
      <c r="I77" s="9">
        <f t="shared" si="9"/>
        <v>257</v>
      </c>
      <c r="J77" s="17">
        <f>+AVERAGE(J19)</f>
        <v>5.905511811023622E-2</v>
      </c>
    </row>
    <row r="78" spans="6:10" ht="13.5" thickBot="1" x14ac:dyDescent="0.25">
      <c r="F78" s="94" t="s">
        <v>142</v>
      </c>
      <c r="G78" s="18">
        <f t="shared" si="8"/>
        <v>619</v>
      </c>
      <c r="H78" s="65">
        <f>AVERAGE(H20)</f>
        <v>5.9523809523809527E-2</v>
      </c>
      <c r="I78" s="18">
        <f t="shared" si="9"/>
        <v>297</v>
      </c>
      <c r="J78" s="20">
        <f>+AVERAGE(J20)</f>
        <v>3.7182852143482069E-2</v>
      </c>
    </row>
    <row r="79" spans="6:10" ht="13.5" thickTop="1" x14ac:dyDescent="0.2">
      <c r="F79" s="6"/>
      <c r="G79" s="4"/>
      <c r="H79" s="16"/>
      <c r="I79" s="4"/>
      <c r="J79" s="16"/>
    </row>
    <row r="80" spans="6:10" x14ac:dyDescent="0.2">
      <c r="F80" s="12" t="s">
        <v>25</v>
      </c>
      <c r="H80" s="21">
        <f>SUM(H65:H76)</f>
        <v>0.75681077694235588</v>
      </c>
      <c r="J80" s="21">
        <f>SUM(J65:J76)</f>
        <v>0.77926196725409325</v>
      </c>
    </row>
    <row r="81" spans="6:9" x14ac:dyDescent="0.2">
      <c r="F81" s="1" t="s">
        <v>21</v>
      </c>
      <c r="G81" s="64">
        <f>AVERAGE(G23,G41)</f>
        <v>459.6</v>
      </c>
      <c r="H81" s="21"/>
      <c r="I81" s="64">
        <f>AVERAGE(I23,I41)</f>
        <v>368.6</v>
      </c>
    </row>
    <row r="85" spans="6:9" x14ac:dyDescent="0.2">
      <c r="I85" s="10"/>
    </row>
    <row r="86" spans="6:9" x14ac:dyDescent="0.2">
      <c r="I86" s="10"/>
    </row>
    <row r="87" spans="6:9" x14ac:dyDescent="0.2">
      <c r="I87" s="10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59"/>
    </row>
    <row r="94" spans="6:9" x14ac:dyDescent="0.2">
      <c r="I94" s="59"/>
    </row>
    <row r="95" spans="6:9" x14ac:dyDescent="0.2">
      <c r="I95" s="59"/>
    </row>
    <row r="96" spans="6:9" x14ac:dyDescent="0.2">
      <c r="I96" s="59"/>
    </row>
    <row r="97" spans="6:10" x14ac:dyDescent="0.2">
      <c r="I97" s="59"/>
    </row>
    <row r="98" spans="6:10" x14ac:dyDescent="0.2">
      <c r="I98" s="59"/>
    </row>
    <row r="99" spans="6:10" x14ac:dyDescent="0.2">
      <c r="I99" s="59"/>
    </row>
    <row r="100" spans="6:10" x14ac:dyDescent="0.2">
      <c r="I100" s="59"/>
    </row>
    <row r="101" spans="6:10" x14ac:dyDescent="0.2">
      <c r="I101" s="10"/>
    </row>
    <row r="102" spans="6:10" x14ac:dyDescent="0.2">
      <c r="F102" s="45"/>
      <c r="G102" s="10"/>
      <c r="H102" s="10"/>
      <c r="I102" s="10"/>
    </row>
    <row r="104" spans="6:10" x14ac:dyDescent="0.2">
      <c r="F104" s="87"/>
      <c r="G104" s="252"/>
      <c r="H104" s="252"/>
      <c r="I104" s="252"/>
      <c r="J104" s="252"/>
    </row>
    <row r="105" spans="6:10" x14ac:dyDescent="0.2">
      <c r="F105" s="87"/>
      <c r="G105" s="4"/>
      <c r="H105" s="4"/>
      <c r="I105" s="4"/>
      <c r="J105" s="4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88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16"/>
    </row>
    <row r="112" spans="6:10" x14ac:dyDescent="0.2">
      <c r="F112" s="88"/>
      <c r="G112" s="4"/>
      <c r="H112" s="16"/>
      <c r="I112" s="4"/>
      <c r="J112" s="16"/>
    </row>
    <row r="113" spans="6:10" x14ac:dyDescent="0.2">
      <c r="F113" s="88"/>
      <c r="G113" s="4"/>
      <c r="H113" s="16"/>
      <c r="I113" s="4"/>
      <c r="J113" s="16"/>
    </row>
    <row r="114" spans="6:10" x14ac:dyDescent="0.2">
      <c r="F114" s="88"/>
      <c r="G114" s="4"/>
      <c r="H114" s="16"/>
      <c r="I114" s="4"/>
      <c r="J114" s="16"/>
    </row>
    <row r="115" spans="6:10" x14ac:dyDescent="0.2">
      <c r="F115" s="88"/>
      <c r="G115" s="4"/>
      <c r="H115" s="16"/>
      <c r="I115" s="4"/>
      <c r="J115" s="16"/>
    </row>
    <row r="116" spans="6:10" x14ac:dyDescent="0.2">
      <c r="F116" s="88"/>
      <c r="G116" s="4"/>
      <c r="H116" s="16"/>
      <c r="I116" s="4"/>
      <c r="J116" s="16"/>
    </row>
    <row r="117" spans="6:10" x14ac:dyDescent="0.2">
      <c r="F117" s="88"/>
      <c r="G117" s="4"/>
      <c r="H117" s="16"/>
      <c r="I117" s="4"/>
      <c r="J117" s="16"/>
    </row>
    <row r="118" spans="6:10" x14ac:dyDescent="0.2">
      <c r="F118" s="63"/>
      <c r="G118" s="4"/>
      <c r="H118" s="16"/>
      <c r="I118" s="4"/>
      <c r="J118" s="16"/>
    </row>
    <row r="119" spans="6:10" x14ac:dyDescent="0.2">
      <c r="F119" s="88"/>
      <c r="G119" s="4"/>
      <c r="H119" s="16"/>
      <c r="I119" s="4"/>
      <c r="J119" s="4"/>
    </row>
  </sheetData>
  <mergeCells count="8">
    <mergeCell ref="B5:B6"/>
    <mergeCell ref="C5:D5"/>
    <mergeCell ref="B2:Z3"/>
    <mergeCell ref="G104:J104"/>
    <mergeCell ref="G5:J5"/>
    <mergeCell ref="G26:J26"/>
    <mergeCell ref="G44:J44"/>
    <mergeCell ref="G63:J6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2.710937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  <col min="12" max="12" width="10.42578125" customWidth="1"/>
  </cols>
  <sheetData>
    <row r="2" spans="2:26" x14ac:dyDescent="0.2">
      <c r="B2" s="232" t="s">
        <v>182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108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/>
    </row>
    <row r="7" spans="2:26" ht="12.75" customHeight="1" thickTop="1" x14ac:dyDescent="0.2">
      <c r="B7" s="114" t="s">
        <v>26</v>
      </c>
      <c r="C7" s="115">
        <v>0.03</v>
      </c>
      <c r="D7" s="116">
        <v>0.02</v>
      </c>
      <c r="F7" s="8" t="s">
        <v>12</v>
      </c>
      <c r="G7" s="78">
        <v>100</v>
      </c>
      <c r="H7" s="79">
        <f t="shared" ref="H7:H18" si="0">G7/$G$20</f>
        <v>3.6630036630036632E-2</v>
      </c>
      <c r="I7" s="78">
        <v>50</v>
      </c>
      <c r="J7" s="80">
        <f t="shared" ref="J7:J18" si="1">I7/I$20</f>
        <v>1.8315018315018316E-2</v>
      </c>
      <c r="L7" s="11"/>
      <c r="M7" s="56"/>
    </row>
    <row r="8" spans="2:26" x14ac:dyDescent="0.2">
      <c r="B8" s="117" t="s">
        <v>27</v>
      </c>
      <c r="C8" s="118">
        <v>0.1</v>
      </c>
      <c r="D8" s="119">
        <v>0.04</v>
      </c>
      <c r="F8" s="6" t="s">
        <v>1</v>
      </c>
      <c r="G8" s="9">
        <v>192</v>
      </c>
      <c r="H8" s="16">
        <f t="shared" si="0"/>
        <v>7.032967032967033E-2</v>
      </c>
      <c r="I8" s="9">
        <v>61</v>
      </c>
      <c r="J8" s="17">
        <f t="shared" si="1"/>
        <v>2.2344322344322345E-2</v>
      </c>
      <c r="L8" s="11"/>
      <c r="M8" s="56"/>
    </row>
    <row r="9" spans="2:26" x14ac:dyDescent="0.2">
      <c r="B9" s="117" t="s">
        <v>28</v>
      </c>
      <c r="C9" s="120">
        <v>7.4999999999999997E-2</v>
      </c>
      <c r="D9" s="119">
        <v>0.03</v>
      </c>
      <c r="F9" s="6" t="s">
        <v>2</v>
      </c>
      <c r="G9" s="9">
        <v>231</v>
      </c>
      <c r="H9" s="16">
        <f t="shared" si="0"/>
        <v>8.461538461538462E-2</v>
      </c>
      <c r="I9" s="9">
        <v>62</v>
      </c>
      <c r="J9" s="17">
        <f t="shared" si="1"/>
        <v>2.271062271062271E-2</v>
      </c>
      <c r="L9" s="11"/>
      <c r="M9" s="56"/>
    </row>
    <row r="10" spans="2:26" x14ac:dyDescent="0.2">
      <c r="B10" s="117" t="s">
        <v>29</v>
      </c>
      <c r="C10" s="120">
        <v>7.4999999999999997E-2</v>
      </c>
      <c r="D10" s="119">
        <v>0.04</v>
      </c>
      <c r="F10" s="6" t="s">
        <v>3</v>
      </c>
      <c r="G10" s="81">
        <v>175</v>
      </c>
      <c r="H10" s="82">
        <f t="shared" si="0"/>
        <v>6.4102564102564097E-2</v>
      </c>
      <c r="I10" s="81">
        <v>125</v>
      </c>
      <c r="J10" s="83">
        <f t="shared" si="1"/>
        <v>4.5787545787545784E-2</v>
      </c>
      <c r="L10" s="11"/>
      <c r="M10" s="56"/>
    </row>
    <row r="11" spans="2:26" x14ac:dyDescent="0.2">
      <c r="B11" s="117" t="s">
        <v>30</v>
      </c>
      <c r="C11" s="120">
        <v>8.5000000000000006E-2</v>
      </c>
      <c r="D11" s="119">
        <v>0.08</v>
      </c>
      <c r="F11" s="6" t="s">
        <v>4</v>
      </c>
      <c r="G11" s="81">
        <v>250</v>
      </c>
      <c r="H11" s="82">
        <f t="shared" si="0"/>
        <v>9.1575091575091569E-2</v>
      </c>
      <c r="I11" s="81">
        <v>200</v>
      </c>
      <c r="J11" s="83">
        <f t="shared" si="1"/>
        <v>7.3260073260073263E-2</v>
      </c>
      <c r="L11" s="11"/>
      <c r="M11" s="56"/>
    </row>
    <row r="12" spans="2:26" x14ac:dyDescent="0.2">
      <c r="B12" s="117" t="s">
        <v>37</v>
      </c>
      <c r="C12" s="120">
        <v>0.11</v>
      </c>
      <c r="D12" s="119">
        <v>0.09</v>
      </c>
      <c r="F12" s="6" t="s">
        <v>5</v>
      </c>
      <c r="G12" s="81">
        <v>325</v>
      </c>
      <c r="H12" s="82">
        <f t="shared" si="0"/>
        <v>0.11904761904761904</v>
      </c>
      <c r="I12" s="81">
        <v>275</v>
      </c>
      <c r="J12" s="83">
        <f t="shared" si="1"/>
        <v>0.10073260073260074</v>
      </c>
      <c r="L12" s="11"/>
      <c r="M12" s="56"/>
    </row>
    <row r="13" spans="2:26" x14ac:dyDescent="0.2">
      <c r="B13" s="117" t="s">
        <v>31</v>
      </c>
      <c r="C13" s="120">
        <v>0.09</v>
      </c>
      <c r="D13" s="119">
        <v>0.1</v>
      </c>
      <c r="F13" s="6" t="s">
        <v>6</v>
      </c>
      <c r="G13" s="81">
        <v>350</v>
      </c>
      <c r="H13" s="82">
        <f t="shared" si="0"/>
        <v>0.12820512820512819</v>
      </c>
      <c r="I13" s="81">
        <v>350</v>
      </c>
      <c r="J13" s="83">
        <f t="shared" si="1"/>
        <v>0.12820512820512819</v>
      </c>
      <c r="L13" s="11"/>
      <c r="M13" s="56"/>
    </row>
    <row r="14" spans="2:26" x14ac:dyDescent="0.2">
      <c r="B14" s="117" t="s">
        <v>32</v>
      </c>
      <c r="C14" s="120">
        <v>0.11</v>
      </c>
      <c r="D14" s="119">
        <v>0.09</v>
      </c>
      <c r="F14" s="6" t="s">
        <v>7</v>
      </c>
      <c r="G14" s="81">
        <v>275</v>
      </c>
      <c r="H14" s="82">
        <f t="shared" si="0"/>
        <v>0.10073260073260074</v>
      </c>
      <c r="I14" s="81">
        <v>300</v>
      </c>
      <c r="J14" s="83">
        <f t="shared" si="1"/>
        <v>0.10989010989010989</v>
      </c>
      <c r="L14" s="11"/>
      <c r="M14" s="56"/>
    </row>
    <row r="15" spans="2:26" x14ac:dyDescent="0.2">
      <c r="B15" s="117" t="s">
        <v>33</v>
      </c>
      <c r="C15" s="120">
        <v>7.0000000000000007E-2</v>
      </c>
      <c r="D15" s="119">
        <v>0.09</v>
      </c>
      <c r="F15" s="6" t="s">
        <v>8</v>
      </c>
      <c r="G15" s="81">
        <v>175</v>
      </c>
      <c r="H15" s="82">
        <f t="shared" si="0"/>
        <v>6.4102564102564097E-2</v>
      </c>
      <c r="I15" s="81">
        <v>225</v>
      </c>
      <c r="J15" s="83">
        <f t="shared" si="1"/>
        <v>8.2417582417582416E-2</v>
      </c>
      <c r="L15" s="11"/>
      <c r="M15" s="56"/>
    </row>
    <row r="16" spans="2:26" x14ac:dyDescent="0.2">
      <c r="B16" s="117" t="s">
        <v>34</v>
      </c>
      <c r="C16" s="120">
        <f>H71</f>
        <v>3.8047650107081249E-2</v>
      </c>
      <c r="D16" s="119">
        <v>9.5000000000000001E-2</v>
      </c>
      <c r="F16" s="6" t="s">
        <v>9</v>
      </c>
      <c r="G16" s="81">
        <v>75</v>
      </c>
      <c r="H16" s="82">
        <f t="shared" si="0"/>
        <v>2.7472527472527472E-2</v>
      </c>
      <c r="I16" s="81">
        <v>225</v>
      </c>
      <c r="J16" s="83">
        <f t="shared" si="1"/>
        <v>8.2417582417582416E-2</v>
      </c>
      <c r="L16" s="11"/>
      <c r="M16" s="56"/>
    </row>
    <row r="17" spans="2:13" x14ac:dyDescent="0.2">
      <c r="B17" s="117" t="s">
        <v>35</v>
      </c>
      <c r="C17" s="120">
        <v>0.03</v>
      </c>
      <c r="D17" s="119">
        <f>J72</f>
        <v>0.10001091540082796</v>
      </c>
      <c r="F17" s="6" t="s">
        <v>10</v>
      </c>
      <c r="G17" s="9">
        <v>83</v>
      </c>
      <c r="H17" s="16">
        <f t="shared" si="0"/>
        <v>3.0402930402930402E-2</v>
      </c>
      <c r="I17" s="9">
        <v>245</v>
      </c>
      <c r="J17" s="17">
        <f t="shared" si="1"/>
        <v>8.9743589743589744E-2</v>
      </c>
      <c r="L17" s="11"/>
      <c r="M17" s="56"/>
    </row>
    <row r="18" spans="2:13" ht="13.5" thickBot="1" x14ac:dyDescent="0.25">
      <c r="B18" s="121" t="s">
        <v>36</v>
      </c>
      <c r="C18" s="122">
        <v>0.03</v>
      </c>
      <c r="D18" s="123">
        <v>7.0000000000000007E-2</v>
      </c>
      <c r="F18" s="7" t="s">
        <v>11</v>
      </c>
      <c r="G18" s="18">
        <v>68</v>
      </c>
      <c r="H18" s="19">
        <f t="shared" si="0"/>
        <v>2.490842490842491E-2</v>
      </c>
      <c r="I18" s="18">
        <v>183</v>
      </c>
      <c r="J18" s="20">
        <f t="shared" si="1"/>
        <v>6.7032967032967031E-2</v>
      </c>
      <c r="L18" s="11"/>
      <c r="M18" s="56"/>
    </row>
    <row r="19" spans="2:13" ht="14.25" thickTop="1" thickBot="1" x14ac:dyDescent="0.25">
      <c r="B19" s="124"/>
      <c r="C19" s="125">
        <f>SUM(C7:C18)</f>
        <v>0.84304765010708138</v>
      </c>
      <c r="D19" s="126">
        <f>SUM(D7:D18)</f>
        <v>0.84501091540082784</v>
      </c>
      <c r="F19" s="1" t="s">
        <v>109</v>
      </c>
      <c r="G19" s="11">
        <f>SUM(G7:G18)</f>
        <v>2299</v>
      </c>
      <c r="H19" s="21">
        <f>SUM(H7:H18)</f>
        <v>0.84212454212454213</v>
      </c>
      <c r="J19" s="21">
        <f>SUM(J7:J18)</f>
        <v>0.84285714285714286</v>
      </c>
      <c r="K19" s="84" t="s">
        <v>110</v>
      </c>
      <c r="L19" s="84"/>
      <c r="M19" s="84"/>
    </row>
    <row r="20" spans="2:13" ht="13.5" thickTop="1" x14ac:dyDescent="0.2">
      <c r="F20" s="1" t="s">
        <v>21</v>
      </c>
      <c r="G20" s="11">
        <v>2730</v>
      </c>
      <c r="H20" s="21"/>
      <c r="I20" s="11">
        <v>2730</v>
      </c>
      <c r="J20" s="21"/>
      <c r="K20" s="84" t="s">
        <v>111</v>
      </c>
      <c r="L20" s="84"/>
      <c r="M20" s="84"/>
    </row>
    <row r="21" spans="2:13" x14ac:dyDescent="0.2">
      <c r="F21" s="1" t="s">
        <v>112</v>
      </c>
      <c r="H21" s="21"/>
      <c r="J21" s="21"/>
      <c r="K21" s="84" t="s">
        <v>113</v>
      </c>
      <c r="L21" s="84"/>
      <c r="M21" s="84"/>
    </row>
    <row r="22" spans="2:13" ht="13.5" thickBot="1" x14ac:dyDescent="0.25">
      <c r="B22" s="66" t="s">
        <v>166</v>
      </c>
      <c r="F22" s="1"/>
      <c r="K22" s="84" t="s">
        <v>114</v>
      </c>
      <c r="L22" s="84"/>
      <c r="M22" s="84"/>
    </row>
    <row r="23" spans="2:13" ht="13.5" thickTop="1" x14ac:dyDescent="0.2">
      <c r="F23" s="2"/>
      <c r="G23" s="243" t="s">
        <v>115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78">
        <v>275</v>
      </c>
      <c r="H25" s="79">
        <f>G25/G38</f>
        <v>6.6185318892900122E-2</v>
      </c>
      <c r="I25" s="78">
        <v>50</v>
      </c>
      <c r="J25" s="80">
        <f>I25/I38</f>
        <v>1.2033694344163659E-2</v>
      </c>
      <c r="K25" s="85"/>
    </row>
    <row r="26" spans="2:13" x14ac:dyDescent="0.2">
      <c r="F26" s="6" t="s">
        <v>1</v>
      </c>
      <c r="G26" s="9">
        <v>375</v>
      </c>
      <c r="H26" s="16">
        <f t="shared" ref="H26:H36" si="2">G26/$G$38</f>
        <v>9.0252707581227443E-2</v>
      </c>
      <c r="I26" s="9">
        <v>83</v>
      </c>
      <c r="J26" s="17">
        <f t="shared" ref="J26:J36" si="3">I26/$I$38</f>
        <v>1.9975932611311673E-2</v>
      </c>
      <c r="K26" s="85"/>
    </row>
    <row r="27" spans="2:13" x14ac:dyDescent="0.2">
      <c r="F27" s="6" t="s">
        <v>2</v>
      </c>
      <c r="G27" s="9">
        <v>345</v>
      </c>
      <c r="H27" s="16">
        <f t="shared" si="2"/>
        <v>8.3032490974729242E-2</v>
      </c>
      <c r="I27" s="9">
        <v>91</v>
      </c>
      <c r="J27" s="17">
        <f t="shared" si="3"/>
        <v>2.1901323706377859E-2</v>
      </c>
      <c r="K27" s="85"/>
    </row>
    <row r="28" spans="2:13" x14ac:dyDescent="0.2">
      <c r="F28" s="6" t="s">
        <v>3</v>
      </c>
      <c r="G28" s="81">
        <v>300</v>
      </c>
      <c r="H28" s="82">
        <f t="shared" si="2"/>
        <v>7.2202166064981949E-2</v>
      </c>
      <c r="I28" s="81">
        <v>200</v>
      </c>
      <c r="J28" s="83">
        <f t="shared" si="3"/>
        <v>4.8134777376654635E-2</v>
      </c>
      <c r="K28" s="85"/>
    </row>
    <row r="29" spans="2:13" x14ac:dyDescent="0.2">
      <c r="F29" s="6" t="s">
        <v>4</v>
      </c>
      <c r="G29" s="81">
        <v>350</v>
      </c>
      <c r="H29" s="82">
        <f t="shared" si="2"/>
        <v>8.4235860409145602E-2</v>
      </c>
      <c r="I29" s="81">
        <v>375</v>
      </c>
      <c r="J29" s="83">
        <f t="shared" si="3"/>
        <v>9.0252707581227443E-2</v>
      </c>
      <c r="K29" s="85"/>
    </row>
    <row r="30" spans="2:13" x14ac:dyDescent="0.2">
      <c r="F30" s="6" t="s">
        <v>5</v>
      </c>
      <c r="G30" s="81">
        <v>400</v>
      </c>
      <c r="H30" s="82">
        <f t="shared" si="2"/>
        <v>9.6269554753309269E-2</v>
      </c>
      <c r="I30" s="81">
        <v>400</v>
      </c>
      <c r="J30" s="83">
        <f t="shared" si="3"/>
        <v>9.6269554753309269E-2</v>
      </c>
      <c r="K30" s="85"/>
    </row>
    <row r="31" spans="2:13" x14ac:dyDescent="0.2">
      <c r="F31" s="6" t="s">
        <v>6</v>
      </c>
      <c r="G31" s="81">
        <v>450</v>
      </c>
      <c r="H31" s="82">
        <f t="shared" si="2"/>
        <v>0.10830324909747292</v>
      </c>
      <c r="I31" s="81">
        <v>450</v>
      </c>
      <c r="J31" s="83">
        <f t="shared" si="3"/>
        <v>0.10830324909747292</v>
      </c>
      <c r="K31" s="85"/>
    </row>
    <row r="32" spans="2:13" x14ac:dyDescent="0.2">
      <c r="F32" s="6" t="s">
        <v>7</v>
      </c>
      <c r="G32" s="81">
        <v>350</v>
      </c>
      <c r="H32" s="82">
        <f t="shared" si="2"/>
        <v>8.4235860409145602E-2</v>
      </c>
      <c r="I32" s="81">
        <v>425</v>
      </c>
      <c r="J32" s="83">
        <f t="shared" si="3"/>
        <v>0.1022864019253911</v>
      </c>
      <c r="K32" s="85"/>
    </row>
    <row r="33" spans="6:11" x14ac:dyDescent="0.2">
      <c r="F33" s="6" t="s">
        <v>8</v>
      </c>
      <c r="G33" s="81">
        <v>250</v>
      </c>
      <c r="H33" s="82">
        <f t="shared" si="2"/>
        <v>6.0168471720818288E-2</v>
      </c>
      <c r="I33" s="81">
        <v>400</v>
      </c>
      <c r="J33" s="83">
        <f t="shared" si="3"/>
        <v>9.6269554753309269E-2</v>
      </c>
      <c r="K33" s="85"/>
    </row>
    <row r="34" spans="6:11" x14ac:dyDescent="0.2">
      <c r="F34" s="6" t="s">
        <v>9</v>
      </c>
      <c r="G34" s="81">
        <v>200</v>
      </c>
      <c r="H34" s="82">
        <f t="shared" si="2"/>
        <v>4.8134777376654635E-2</v>
      </c>
      <c r="I34" s="81">
        <v>350</v>
      </c>
      <c r="J34" s="83">
        <f t="shared" si="3"/>
        <v>8.4235860409145602E-2</v>
      </c>
      <c r="K34" s="44"/>
    </row>
    <row r="35" spans="6:11" x14ac:dyDescent="0.2">
      <c r="F35" s="6" t="s">
        <v>10</v>
      </c>
      <c r="G35" s="9">
        <v>114</v>
      </c>
      <c r="H35" s="16">
        <f t="shared" si="2"/>
        <v>2.7436823104693142E-2</v>
      </c>
      <c r="I35" s="9">
        <v>387</v>
      </c>
      <c r="J35" s="17">
        <f t="shared" si="3"/>
        <v>9.314079422382672E-2</v>
      </c>
      <c r="K35" s="44"/>
    </row>
    <row r="36" spans="6:11" ht="13.5" thickBot="1" x14ac:dyDescent="0.25">
      <c r="F36" s="7" t="s">
        <v>11</v>
      </c>
      <c r="G36" s="18">
        <v>110</v>
      </c>
      <c r="H36" s="19">
        <f t="shared" si="2"/>
        <v>2.6474127557160047E-2</v>
      </c>
      <c r="I36" s="18">
        <v>288</v>
      </c>
      <c r="J36" s="20">
        <f t="shared" si="3"/>
        <v>6.9314079422382671E-2</v>
      </c>
      <c r="K36" s="44"/>
    </row>
    <row r="37" spans="6:11" ht="13.5" thickTop="1" x14ac:dyDescent="0.2">
      <c r="F37" s="1" t="s">
        <v>116</v>
      </c>
      <c r="H37" s="21">
        <f>SUM(H25:H36)</f>
        <v>0.84693140794223831</v>
      </c>
      <c r="J37" s="21">
        <f>SUM(J25:J36)</f>
        <v>0.84211793020457282</v>
      </c>
    </row>
    <row r="38" spans="6:11" x14ac:dyDescent="0.2">
      <c r="F38" s="1" t="s">
        <v>21</v>
      </c>
      <c r="G38" s="11">
        <v>4155</v>
      </c>
      <c r="H38" s="21"/>
      <c r="I38" s="11">
        <v>4155</v>
      </c>
      <c r="J38" s="21"/>
    </row>
    <row r="39" spans="6:11" x14ac:dyDescent="0.2">
      <c r="H39" s="21"/>
      <c r="J39" s="21"/>
    </row>
    <row r="40" spans="6:11" ht="13.5" thickBot="1" x14ac:dyDescent="0.25"/>
    <row r="41" spans="6:11" ht="13.5" thickTop="1" x14ac:dyDescent="0.2">
      <c r="F41" s="2"/>
      <c r="G41" s="243" t="s">
        <v>117</v>
      </c>
      <c r="H41" s="244"/>
      <c r="I41" s="244"/>
      <c r="J41" s="245"/>
    </row>
    <row r="42" spans="6:11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1" ht="13.5" thickTop="1" x14ac:dyDescent="0.2">
      <c r="F43" s="8" t="s">
        <v>12</v>
      </c>
      <c r="G43" s="78">
        <v>175</v>
      </c>
      <c r="H43" s="79">
        <f>G43/G56</f>
        <v>6.7437379576107903E-2</v>
      </c>
      <c r="I43" s="78">
        <v>100</v>
      </c>
      <c r="J43" s="80">
        <f>I43/I56</f>
        <v>3.8535645472061654E-2</v>
      </c>
    </row>
    <row r="44" spans="6:11" x14ac:dyDescent="0.2">
      <c r="F44" s="6" t="s">
        <v>1</v>
      </c>
      <c r="G44" s="9">
        <v>404</v>
      </c>
      <c r="H44" s="16">
        <f t="shared" ref="H44:H54" si="4">G44/$G$56</f>
        <v>0.15568400770712909</v>
      </c>
      <c r="I44" s="9">
        <v>173</v>
      </c>
      <c r="J44" s="17">
        <f t="shared" ref="J44:J54" si="5">I44/$I$56</f>
        <v>6.6666666666666666E-2</v>
      </c>
    </row>
    <row r="45" spans="6:11" x14ac:dyDescent="0.2">
      <c r="F45" s="6" t="s">
        <v>2</v>
      </c>
      <c r="G45" s="9">
        <v>256</v>
      </c>
      <c r="H45" s="16">
        <f t="shared" si="4"/>
        <v>9.8651252408477844E-2</v>
      </c>
      <c r="I45" s="9">
        <v>142</v>
      </c>
      <c r="J45" s="17">
        <f t="shared" si="5"/>
        <v>5.4720616570327556E-2</v>
      </c>
    </row>
    <row r="46" spans="6:11" x14ac:dyDescent="0.2">
      <c r="F46" s="6" t="s">
        <v>3</v>
      </c>
      <c r="G46" s="81">
        <v>150</v>
      </c>
      <c r="H46" s="82">
        <f t="shared" si="4"/>
        <v>5.7803468208092484E-2</v>
      </c>
      <c r="I46" s="81">
        <v>100</v>
      </c>
      <c r="J46" s="83">
        <f t="shared" si="5"/>
        <v>3.8535645472061654E-2</v>
      </c>
    </row>
    <row r="47" spans="6:11" x14ac:dyDescent="0.2">
      <c r="F47" s="6" t="s">
        <v>4</v>
      </c>
      <c r="G47" s="81">
        <v>175</v>
      </c>
      <c r="H47" s="82">
        <f t="shared" si="4"/>
        <v>6.7437379576107903E-2</v>
      </c>
      <c r="I47" s="81">
        <v>125</v>
      </c>
      <c r="J47" s="83">
        <f t="shared" si="5"/>
        <v>4.8169556840077073E-2</v>
      </c>
    </row>
    <row r="48" spans="6:11" x14ac:dyDescent="0.2">
      <c r="F48" s="6" t="s">
        <v>5</v>
      </c>
      <c r="G48" s="81">
        <v>200</v>
      </c>
      <c r="H48" s="82">
        <f t="shared" si="4"/>
        <v>7.7071290944123308E-2</v>
      </c>
      <c r="I48" s="81">
        <v>175</v>
      </c>
      <c r="J48" s="83">
        <f t="shared" si="5"/>
        <v>6.7437379576107903E-2</v>
      </c>
    </row>
    <row r="49" spans="6:10" x14ac:dyDescent="0.2">
      <c r="F49" s="6" t="s">
        <v>6</v>
      </c>
      <c r="G49" s="81">
        <v>250</v>
      </c>
      <c r="H49" s="82">
        <f t="shared" si="4"/>
        <v>9.6339113680154145E-2</v>
      </c>
      <c r="I49" s="81">
        <v>250</v>
      </c>
      <c r="J49" s="83">
        <f t="shared" si="5"/>
        <v>9.6339113680154145E-2</v>
      </c>
    </row>
    <row r="50" spans="6:10" x14ac:dyDescent="0.2">
      <c r="F50" s="6" t="s">
        <v>7</v>
      </c>
      <c r="G50" s="81">
        <v>125</v>
      </c>
      <c r="H50" s="82">
        <f t="shared" si="4"/>
        <v>4.8169556840077073E-2</v>
      </c>
      <c r="I50" s="81">
        <v>200</v>
      </c>
      <c r="J50" s="83">
        <f t="shared" si="5"/>
        <v>7.7071290944123308E-2</v>
      </c>
    </row>
    <row r="51" spans="6:10" x14ac:dyDescent="0.2">
      <c r="F51" s="6" t="s">
        <v>8</v>
      </c>
      <c r="G51" s="81">
        <v>100</v>
      </c>
      <c r="H51" s="82">
        <f t="shared" si="4"/>
        <v>3.8535645472061654E-2</v>
      </c>
      <c r="I51" s="81">
        <v>175</v>
      </c>
      <c r="J51" s="83">
        <f t="shared" si="5"/>
        <v>6.7437379576107903E-2</v>
      </c>
    </row>
    <row r="52" spans="6:10" x14ac:dyDescent="0.2">
      <c r="F52" s="6" t="s">
        <v>9</v>
      </c>
      <c r="G52" s="81">
        <v>100</v>
      </c>
      <c r="H52" s="82">
        <f t="shared" si="4"/>
        <v>3.8535645472061654E-2</v>
      </c>
      <c r="I52" s="81">
        <v>225</v>
      </c>
      <c r="J52" s="83">
        <f t="shared" si="5"/>
        <v>8.6705202312138727E-2</v>
      </c>
    </row>
    <row r="53" spans="6:10" x14ac:dyDescent="0.2">
      <c r="F53" s="6" t="s">
        <v>10</v>
      </c>
      <c r="G53" s="9">
        <v>148</v>
      </c>
      <c r="H53" s="16">
        <f t="shared" si="4"/>
        <v>5.7032755298651254E-2</v>
      </c>
      <c r="I53" s="9">
        <v>304</v>
      </c>
      <c r="J53" s="17">
        <f t="shared" si="5"/>
        <v>0.11714836223506744</v>
      </c>
    </row>
    <row r="54" spans="6:10" ht="13.5" thickBot="1" x14ac:dyDescent="0.25">
      <c r="F54" s="7" t="s">
        <v>11</v>
      </c>
      <c r="G54" s="18">
        <v>108</v>
      </c>
      <c r="H54" s="19">
        <f t="shared" si="4"/>
        <v>4.161849710982659E-2</v>
      </c>
      <c r="I54" s="18">
        <v>231</v>
      </c>
      <c r="J54" s="20">
        <f t="shared" si="5"/>
        <v>8.9017341040462425E-2</v>
      </c>
    </row>
    <row r="55" spans="6:10" ht="13.5" thickTop="1" x14ac:dyDescent="0.2">
      <c r="F55" s="1" t="s">
        <v>118</v>
      </c>
      <c r="H55" s="21">
        <f>SUM(H43:H54)</f>
        <v>0.84431599229287091</v>
      </c>
      <c r="J55" s="21">
        <f>SUM(J43:J54)</f>
        <v>0.8477842003853564</v>
      </c>
    </row>
    <row r="56" spans="6:10" x14ac:dyDescent="0.2">
      <c r="F56" s="1" t="s">
        <v>21</v>
      </c>
      <c r="G56" s="11">
        <v>2595</v>
      </c>
      <c r="H56" s="21"/>
      <c r="I56" s="11">
        <v>2595</v>
      </c>
    </row>
    <row r="59" spans="6:10" ht="13.5" thickBot="1" x14ac:dyDescent="0.25">
      <c r="G59"/>
      <c r="H59"/>
      <c r="I59"/>
      <c r="J59"/>
    </row>
    <row r="60" spans="6:10" ht="13.5" thickTop="1" x14ac:dyDescent="0.2">
      <c r="F60" s="2"/>
      <c r="G60" s="243" t="s">
        <v>119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78">
        <f t="shared" ref="G62:G73" si="6">+G7+G25+G43</f>
        <v>550</v>
      </c>
      <c r="H62" s="79">
        <f t="shared" ref="H62:H73" si="7">AVERAGE(H7,H25,H43)</f>
        <v>5.675091169968155E-2</v>
      </c>
      <c r="I62" s="78">
        <f t="shared" ref="I62:I73" si="8">+I7+I25+I43</f>
        <v>200</v>
      </c>
      <c r="J62" s="80">
        <f t="shared" ref="J62:J73" si="9">+AVERAGE(J7,J25,J43)</f>
        <v>2.2961452710414543E-2</v>
      </c>
    </row>
    <row r="63" spans="6:10" x14ac:dyDescent="0.2">
      <c r="F63" s="6" t="s">
        <v>27</v>
      </c>
      <c r="G63" s="9">
        <f t="shared" si="6"/>
        <v>971</v>
      </c>
      <c r="H63" s="22">
        <f t="shared" si="7"/>
        <v>0.1054221285393423</v>
      </c>
      <c r="I63" s="9">
        <f t="shared" si="8"/>
        <v>317</v>
      </c>
      <c r="J63" s="17">
        <f t="shared" si="9"/>
        <v>3.632897387410023E-2</v>
      </c>
    </row>
    <row r="64" spans="6:10" x14ac:dyDescent="0.2">
      <c r="F64" s="6" t="s">
        <v>28</v>
      </c>
      <c r="G64" s="9">
        <f t="shared" si="6"/>
        <v>832</v>
      </c>
      <c r="H64" s="22">
        <f t="shared" si="7"/>
        <v>8.8766375999530564E-2</v>
      </c>
      <c r="I64" s="9">
        <f t="shared" si="8"/>
        <v>295</v>
      </c>
      <c r="J64" s="17">
        <f t="shared" si="9"/>
        <v>3.3110854329109374E-2</v>
      </c>
    </row>
    <row r="65" spans="6:10" x14ac:dyDescent="0.2">
      <c r="F65" s="6" t="s">
        <v>29</v>
      </c>
      <c r="G65" s="81">
        <f t="shared" si="6"/>
        <v>625</v>
      </c>
      <c r="H65" s="86">
        <f t="shared" si="7"/>
        <v>6.4702732791879505E-2</v>
      </c>
      <c r="I65" s="81">
        <f t="shared" si="8"/>
        <v>425</v>
      </c>
      <c r="J65" s="83">
        <f t="shared" si="9"/>
        <v>4.415265621208736E-2</v>
      </c>
    </row>
    <row r="66" spans="6:10" x14ac:dyDescent="0.2">
      <c r="F66" s="6" t="s">
        <v>30</v>
      </c>
      <c r="G66" s="81">
        <f t="shared" si="6"/>
        <v>775</v>
      </c>
      <c r="H66" s="86">
        <f t="shared" si="7"/>
        <v>8.1082777186781696E-2</v>
      </c>
      <c r="I66" s="81">
        <f t="shared" si="8"/>
        <v>700</v>
      </c>
      <c r="J66" s="83">
        <f t="shared" si="9"/>
        <v>7.0560779227125933E-2</v>
      </c>
    </row>
    <row r="67" spans="6:10" x14ac:dyDescent="0.2">
      <c r="F67" s="6" t="s">
        <v>37</v>
      </c>
      <c r="G67" s="81">
        <f t="shared" si="6"/>
        <v>925</v>
      </c>
      <c r="H67" s="86">
        <f t="shared" si="7"/>
        <v>9.7462821581683859E-2</v>
      </c>
      <c r="I67" s="81">
        <f t="shared" si="8"/>
        <v>850</v>
      </c>
      <c r="J67" s="83">
        <f t="shared" si="9"/>
        <v>8.8146511687339293E-2</v>
      </c>
    </row>
    <row r="68" spans="6:10" x14ac:dyDescent="0.2">
      <c r="F68" s="6" t="s">
        <v>31</v>
      </c>
      <c r="G68" s="81">
        <f t="shared" si="6"/>
        <v>1050</v>
      </c>
      <c r="H68" s="86">
        <f t="shared" si="7"/>
        <v>0.11094916366091841</v>
      </c>
      <c r="I68" s="81">
        <f t="shared" si="8"/>
        <v>1050</v>
      </c>
      <c r="J68" s="83">
        <f t="shared" si="9"/>
        <v>0.11094916366091841</v>
      </c>
    </row>
    <row r="69" spans="6:10" x14ac:dyDescent="0.2">
      <c r="F69" s="6" t="s">
        <v>32</v>
      </c>
      <c r="G69" s="81">
        <f t="shared" si="6"/>
        <v>750</v>
      </c>
      <c r="H69" s="86">
        <f t="shared" si="7"/>
        <v>7.7712672660607801E-2</v>
      </c>
      <c r="I69" s="81">
        <f t="shared" si="8"/>
        <v>925</v>
      </c>
      <c r="J69" s="83">
        <f t="shared" si="9"/>
        <v>9.6415934253208102E-2</v>
      </c>
    </row>
    <row r="70" spans="6:10" x14ac:dyDescent="0.2">
      <c r="F70" s="6" t="s">
        <v>33</v>
      </c>
      <c r="G70" s="81">
        <f t="shared" si="6"/>
        <v>525</v>
      </c>
      <c r="H70" s="86">
        <f t="shared" si="7"/>
        <v>5.4268893765148013E-2</v>
      </c>
      <c r="I70" s="81">
        <f t="shared" si="8"/>
        <v>800</v>
      </c>
      <c r="J70" s="83">
        <f t="shared" si="9"/>
        <v>8.2041505582333196E-2</v>
      </c>
    </row>
    <row r="71" spans="6:10" x14ac:dyDescent="0.2">
      <c r="F71" s="6" t="s">
        <v>34</v>
      </c>
      <c r="G71" s="81">
        <f t="shared" si="6"/>
        <v>375</v>
      </c>
      <c r="H71" s="86">
        <f t="shared" si="7"/>
        <v>3.8047650107081249E-2</v>
      </c>
      <c r="I71" s="81">
        <f t="shared" si="8"/>
        <v>800</v>
      </c>
      <c r="J71" s="83">
        <f t="shared" si="9"/>
        <v>8.4452881712955577E-2</v>
      </c>
    </row>
    <row r="72" spans="6:10" x14ac:dyDescent="0.2">
      <c r="F72" s="6" t="s">
        <v>35</v>
      </c>
      <c r="G72" s="9">
        <f t="shared" si="6"/>
        <v>345</v>
      </c>
      <c r="H72" s="22">
        <f t="shared" si="7"/>
        <v>3.8290836268758267E-2</v>
      </c>
      <c r="I72" s="9">
        <f t="shared" si="8"/>
        <v>936</v>
      </c>
      <c r="J72" s="17">
        <f t="shared" si="9"/>
        <v>0.10001091540082796</v>
      </c>
    </row>
    <row r="73" spans="6:10" ht="13.5" thickBot="1" x14ac:dyDescent="0.25">
      <c r="F73" s="7" t="s">
        <v>36</v>
      </c>
      <c r="G73" s="18">
        <f t="shared" si="6"/>
        <v>286</v>
      </c>
      <c r="H73" s="19">
        <f t="shared" si="7"/>
        <v>3.1000349858470517E-2</v>
      </c>
      <c r="I73" s="18">
        <f t="shared" si="8"/>
        <v>702</v>
      </c>
      <c r="J73" s="20">
        <f t="shared" si="9"/>
        <v>7.5121462498604033E-2</v>
      </c>
    </row>
    <row r="74" spans="6:10" ht="13.5" thickTop="1" x14ac:dyDescent="0.2">
      <c r="F74" s="12" t="s">
        <v>25</v>
      </c>
      <c r="H74" s="21">
        <f>SUM(H62:H73)</f>
        <v>0.84445731411988367</v>
      </c>
      <c r="J74" s="21">
        <f>SUM(J62:J73)</f>
        <v>0.84425309114902414</v>
      </c>
    </row>
    <row r="75" spans="6:10" x14ac:dyDescent="0.2">
      <c r="F75" s="1" t="s">
        <v>21</v>
      </c>
      <c r="G75" s="11">
        <f>+G20+G38+G56</f>
        <v>9480</v>
      </c>
      <c r="H75" s="21"/>
      <c r="I75" s="11">
        <f>+I20+I38+I56</f>
        <v>9480</v>
      </c>
    </row>
    <row r="76" spans="6:10" x14ac:dyDescent="0.2">
      <c r="G76"/>
      <c r="H76"/>
      <c r="I76"/>
      <c r="J76"/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G41:J41"/>
    <mergeCell ref="G60:J60"/>
    <mergeCell ref="B5:B6"/>
    <mergeCell ref="B2:Z3"/>
    <mergeCell ref="C5:D5"/>
    <mergeCell ref="G5:J5"/>
    <mergeCell ref="G23:J23"/>
  </mergeCells>
  <phoneticPr fontId="0" type="noConversion"/>
  <pageMargins left="0.35" right="0.43" top="1" bottom="1" header="0.4" footer="0.5"/>
  <pageSetup paperSize="17" scale="70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3:B30"/>
  <sheetViews>
    <sheetView zoomScale="70" zoomScaleNormal="70" workbookViewId="0">
      <selection activeCell="A3" sqref="A3"/>
    </sheetView>
  </sheetViews>
  <sheetFormatPr defaultRowHeight="12.75" x14ac:dyDescent="0.2"/>
  <sheetData>
    <row r="3" spans="1:2" x14ac:dyDescent="0.2">
      <c r="A3" t="s">
        <v>78</v>
      </c>
    </row>
    <row r="4" spans="1:2" x14ac:dyDescent="0.2">
      <c r="A4" t="s">
        <v>76</v>
      </c>
      <c r="B4" s="69">
        <v>0</v>
      </c>
    </row>
    <row r="5" spans="1:2" x14ac:dyDescent="0.2">
      <c r="A5" t="s">
        <v>7</v>
      </c>
      <c r="B5" s="69">
        <v>0</v>
      </c>
    </row>
    <row r="6" spans="1:2" x14ac:dyDescent="0.2">
      <c r="A6" t="s">
        <v>8</v>
      </c>
      <c r="B6" s="69">
        <v>0</v>
      </c>
    </row>
    <row r="7" spans="1:2" x14ac:dyDescent="0.2">
      <c r="A7" t="s">
        <v>9</v>
      </c>
      <c r="B7" s="69">
        <v>0</v>
      </c>
    </row>
    <row r="8" spans="1:2" x14ac:dyDescent="0.2">
      <c r="A8" t="s">
        <v>10</v>
      </c>
      <c r="B8" s="69">
        <v>0</v>
      </c>
    </row>
    <row r="9" spans="1:2" x14ac:dyDescent="0.2">
      <c r="A9" t="s">
        <v>11</v>
      </c>
      <c r="B9" s="69">
        <v>8.3333333333333332E-3</v>
      </c>
    </row>
    <row r="10" spans="1:2" x14ac:dyDescent="0.2">
      <c r="A10" t="s">
        <v>12</v>
      </c>
      <c r="B10" s="69">
        <v>3.6666666666666667E-2</v>
      </c>
    </row>
    <row r="11" spans="1:2" x14ac:dyDescent="0.2">
      <c r="A11" t="s">
        <v>1</v>
      </c>
      <c r="B11" s="69">
        <v>6.8885789302992162E-2</v>
      </c>
    </row>
    <row r="12" spans="1:2" x14ac:dyDescent="0.2">
      <c r="A12" t="s">
        <v>2</v>
      </c>
      <c r="B12" s="69">
        <v>6.8803250753702971E-2</v>
      </c>
    </row>
    <row r="13" spans="1:2" x14ac:dyDescent="0.2">
      <c r="A13" t="s">
        <v>3</v>
      </c>
      <c r="B13" s="69">
        <v>0.03</v>
      </c>
    </row>
    <row r="14" spans="1:2" x14ac:dyDescent="0.2">
      <c r="A14" t="s">
        <v>4</v>
      </c>
      <c r="B14" s="69">
        <v>4.4999999999999998E-2</v>
      </c>
    </row>
    <row r="15" spans="1:2" x14ac:dyDescent="0.2">
      <c r="A15" t="s">
        <v>5</v>
      </c>
      <c r="B15" s="69">
        <v>7.7466864865053012E-2</v>
      </c>
    </row>
    <row r="16" spans="1:2" x14ac:dyDescent="0.2">
      <c r="A16" t="s">
        <v>6</v>
      </c>
      <c r="B16" s="69">
        <v>0.1139823338188099</v>
      </c>
    </row>
    <row r="17" spans="1:2" x14ac:dyDescent="0.2">
      <c r="A17" t="s">
        <v>7</v>
      </c>
      <c r="B17" s="69">
        <v>6.6333333333333341E-2</v>
      </c>
    </row>
    <row r="18" spans="1:2" x14ac:dyDescent="0.2">
      <c r="A18" t="s">
        <v>8</v>
      </c>
      <c r="B18" s="69">
        <v>3.3333333333333333E-2</v>
      </c>
    </row>
    <row r="19" spans="1:2" x14ac:dyDescent="0.2">
      <c r="A19" t="s">
        <v>9</v>
      </c>
      <c r="B19" s="69">
        <v>3.3333333333333333E-2</v>
      </c>
    </row>
    <row r="20" spans="1:2" x14ac:dyDescent="0.2">
      <c r="A20" t="s">
        <v>10</v>
      </c>
      <c r="B20" s="69">
        <v>5.1666666666666673E-2</v>
      </c>
    </row>
    <row r="21" spans="1:2" x14ac:dyDescent="0.2">
      <c r="A21" t="s">
        <v>11</v>
      </c>
      <c r="B21" s="69">
        <v>7.96577051215656E-2</v>
      </c>
    </row>
    <row r="22" spans="1:2" x14ac:dyDescent="0.2">
      <c r="A22" t="s">
        <v>12</v>
      </c>
      <c r="B22" s="69">
        <v>8.5092644061515704E-2</v>
      </c>
    </row>
    <row r="23" spans="1:2" x14ac:dyDescent="0.2">
      <c r="A23" t="s">
        <v>1</v>
      </c>
      <c r="B23" s="69">
        <v>7.6666666666666661E-2</v>
      </c>
    </row>
    <row r="24" spans="1:2" x14ac:dyDescent="0.2">
      <c r="A24" t="s">
        <v>2</v>
      </c>
      <c r="B24" s="69">
        <v>5.7999999999999996E-2</v>
      </c>
    </row>
    <row r="25" spans="1:2" x14ac:dyDescent="0.2">
      <c r="A25" t="s">
        <v>3</v>
      </c>
      <c r="B25" s="69">
        <v>0.04</v>
      </c>
    </row>
    <row r="26" spans="1:2" x14ac:dyDescent="0.2">
      <c r="A26" t="s">
        <v>4</v>
      </c>
      <c r="B26" s="69">
        <v>2.0333333333333335E-2</v>
      </c>
    </row>
    <row r="27" spans="1:2" x14ac:dyDescent="0.2">
      <c r="A27" t="s">
        <v>77</v>
      </c>
      <c r="B27" s="69">
        <v>6.6666666666666671E-3</v>
      </c>
    </row>
    <row r="28" spans="1:2" x14ac:dyDescent="0.2">
      <c r="B28" s="69">
        <v>1.0002219212569725</v>
      </c>
    </row>
    <row r="30" spans="1:2" x14ac:dyDescent="0.2">
      <c r="A30" t="s">
        <v>79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2:26" x14ac:dyDescent="0.2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130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7.0000000000000001E-3</v>
      </c>
      <c r="D7" s="116">
        <v>2E-3</v>
      </c>
      <c r="F7" s="8" t="s">
        <v>12</v>
      </c>
      <c r="G7" s="13">
        <f>0+2+3</f>
        <v>5</v>
      </c>
      <c r="H7" s="14">
        <f t="shared" ref="H7:H18" si="0">G7/$G$20</f>
        <v>6.7294751009421266E-3</v>
      </c>
      <c r="I7" s="13">
        <f>1</f>
        <v>1</v>
      </c>
      <c r="J7" s="15">
        <f t="shared" ref="J7:J18" si="1">I7/$I$20</f>
        <v>2.4271844660194173E-3</v>
      </c>
      <c r="L7" s="11">
        <f t="shared" ref="L7:L18" si="2">+G7+I7</f>
        <v>6</v>
      </c>
      <c r="M7" s="56">
        <f t="shared" ref="M7:M18" si="3">+L7/($G$20+$I$20)</f>
        <v>5.1948051948051948E-3</v>
      </c>
    </row>
    <row r="8" spans="2:26" x14ac:dyDescent="0.2">
      <c r="B8" s="117" t="s">
        <v>27</v>
      </c>
      <c r="C8" s="118">
        <v>1.0999999999999999E-2</v>
      </c>
      <c r="D8" s="119">
        <v>0.01</v>
      </c>
      <c r="F8" s="6" t="s">
        <v>1</v>
      </c>
      <c r="G8" s="9">
        <f>0+2+6</f>
        <v>8</v>
      </c>
      <c r="H8" s="16">
        <f t="shared" si="0"/>
        <v>1.0767160161507403E-2</v>
      </c>
      <c r="I8" s="9">
        <v>4</v>
      </c>
      <c r="J8" s="17">
        <f t="shared" si="1"/>
        <v>9.7087378640776691E-3</v>
      </c>
      <c r="L8" s="11">
        <f t="shared" si="2"/>
        <v>12</v>
      </c>
      <c r="M8" s="56">
        <f t="shared" si="3"/>
        <v>1.038961038961039E-2</v>
      </c>
    </row>
    <row r="9" spans="2:26" x14ac:dyDescent="0.2">
      <c r="B9" s="117" t="s">
        <v>28</v>
      </c>
      <c r="C9" s="120">
        <v>3.1E-2</v>
      </c>
      <c r="D9" s="119">
        <v>1.7000000000000001E-2</v>
      </c>
      <c r="F9" s="6" t="s">
        <v>2</v>
      </c>
      <c r="G9" s="9">
        <f>0+10+13</f>
        <v>23</v>
      </c>
      <c r="H9" s="16">
        <f t="shared" si="0"/>
        <v>3.095558546433378E-2</v>
      </c>
      <c r="I9" s="9">
        <v>7</v>
      </c>
      <c r="J9" s="17">
        <f t="shared" si="1"/>
        <v>1.6990291262135922E-2</v>
      </c>
      <c r="L9" s="11">
        <f t="shared" si="2"/>
        <v>30</v>
      </c>
      <c r="M9" s="56">
        <f t="shared" si="3"/>
        <v>2.5974025974025976E-2</v>
      </c>
    </row>
    <row r="10" spans="2:26" x14ac:dyDescent="0.2">
      <c r="B10" s="117" t="s">
        <v>29</v>
      </c>
      <c r="C10" s="120">
        <v>7.3999999999999996E-2</v>
      </c>
      <c r="D10" s="119">
        <v>2.7E-2</v>
      </c>
      <c r="F10" s="6" t="s">
        <v>3</v>
      </c>
      <c r="G10" s="9">
        <f>2+35+18</f>
        <v>55</v>
      </c>
      <c r="H10" s="16">
        <f t="shared" si="0"/>
        <v>7.4024226110363398E-2</v>
      </c>
      <c r="I10" s="9">
        <v>11</v>
      </c>
      <c r="J10" s="17">
        <f t="shared" si="1"/>
        <v>2.6699029126213591E-2</v>
      </c>
      <c r="L10" s="11">
        <f t="shared" si="2"/>
        <v>66</v>
      </c>
      <c r="M10" s="56">
        <f t="shared" si="3"/>
        <v>5.7142857142857141E-2</v>
      </c>
    </row>
    <row r="11" spans="2:26" x14ac:dyDescent="0.2">
      <c r="B11" s="117" t="s">
        <v>30</v>
      </c>
      <c r="C11" s="120">
        <v>9.7000000000000003E-2</v>
      </c>
      <c r="D11" s="119">
        <v>5.8000000000000003E-2</v>
      </c>
      <c r="F11" s="6" t="s">
        <v>4</v>
      </c>
      <c r="G11" s="9">
        <f>0+45+27</f>
        <v>72</v>
      </c>
      <c r="H11" s="16">
        <f t="shared" si="0"/>
        <v>9.6904441453566623E-2</v>
      </c>
      <c r="I11" s="9">
        <v>24</v>
      </c>
      <c r="J11" s="17">
        <f t="shared" si="1"/>
        <v>5.8252427184466021E-2</v>
      </c>
      <c r="L11" s="11">
        <f t="shared" si="2"/>
        <v>96</v>
      </c>
      <c r="M11" s="56">
        <f t="shared" si="3"/>
        <v>8.3116883116883117E-2</v>
      </c>
    </row>
    <row r="12" spans="2:26" x14ac:dyDescent="0.2">
      <c r="B12" s="117" t="s">
        <v>37</v>
      </c>
      <c r="C12" s="120">
        <v>9.8000000000000004E-2</v>
      </c>
      <c r="D12" s="119">
        <v>0.10199999999999999</v>
      </c>
      <c r="F12" s="6" t="s">
        <v>5</v>
      </c>
      <c r="G12" s="9">
        <f>0+29+44</f>
        <v>73</v>
      </c>
      <c r="H12" s="16">
        <f t="shared" si="0"/>
        <v>9.8250336473755043E-2</v>
      </c>
      <c r="I12" s="9">
        <v>42</v>
      </c>
      <c r="J12" s="17">
        <f t="shared" si="1"/>
        <v>0.10194174757281553</v>
      </c>
      <c r="L12" s="11">
        <f t="shared" si="2"/>
        <v>115</v>
      </c>
      <c r="M12" s="56">
        <f t="shared" si="3"/>
        <v>9.9567099567099568E-2</v>
      </c>
    </row>
    <row r="13" spans="2:26" x14ac:dyDescent="0.2">
      <c r="B13" s="117" t="s">
        <v>31</v>
      </c>
      <c r="C13" s="120">
        <v>0.09</v>
      </c>
      <c r="D13" s="119">
        <v>8.6999999999999994E-2</v>
      </c>
      <c r="F13" s="6" t="s">
        <v>6</v>
      </c>
      <c r="G13" s="9">
        <f>0+36+31</f>
        <v>67</v>
      </c>
      <c r="H13" s="16">
        <f t="shared" si="0"/>
        <v>9.0174966352624494E-2</v>
      </c>
      <c r="I13" s="9">
        <v>36</v>
      </c>
      <c r="J13" s="17">
        <f t="shared" si="1"/>
        <v>8.7378640776699032E-2</v>
      </c>
      <c r="L13" s="11">
        <f t="shared" si="2"/>
        <v>103</v>
      </c>
      <c r="M13" s="56">
        <f t="shared" si="3"/>
        <v>8.9177489177489175E-2</v>
      </c>
    </row>
    <row r="14" spans="2:26" x14ac:dyDescent="0.2">
      <c r="B14" s="117" t="s">
        <v>32</v>
      </c>
      <c r="C14" s="120">
        <v>0.104</v>
      </c>
      <c r="D14" s="119">
        <v>0.11899999999999999</v>
      </c>
      <c r="F14" s="6" t="s">
        <v>7</v>
      </c>
      <c r="G14" s="9">
        <f>0+47+30</f>
        <v>77</v>
      </c>
      <c r="H14" s="16">
        <f t="shared" si="0"/>
        <v>0.10363391655450875</v>
      </c>
      <c r="I14" s="9">
        <v>49</v>
      </c>
      <c r="J14" s="17">
        <f t="shared" si="1"/>
        <v>0.11893203883495146</v>
      </c>
      <c r="L14" s="11">
        <f t="shared" si="2"/>
        <v>126</v>
      </c>
      <c r="M14" s="56">
        <f t="shared" si="3"/>
        <v>0.10909090909090909</v>
      </c>
    </row>
    <row r="15" spans="2:26" x14ac:dyDescent="0.2">
      <c r="B15" s="117" t="s">
        <v>33</v>
      </c>
      <c r="C15" s="120">
        <v>7.3999999999999996E-2</v>
      </c>
      <c r="D15" s="119">
        <v>0.104</v>
      </c>
      <c r="F15" s="6" t="s">
        <v>8</v>
      </c>
      <c r="G15" s="9">
        <f>0+25+30</f>
        <v>55</v>
      </c>
      <c r="H15" s="16">
        <f t="shared" si="0"/>
        <v>7.4024226110363398E-2</v>
      </c>
      <c r="I15" s="9">
        <v>43</v>
      </c>
      <c r="J15" s="17">
        <f t="shared" si="1"/>
        <v>0.10436893203883495</v>
      </c>
      <c r="L15" s="11">
        <f t="shared" si="2"/>
        <v>98</v>
      </c>
      <c r="M15" s="56">
        <f t="shared" si="3"/>
        <v>8.4848484848484854E-2</v>
      </c>
    </row>
    <row r="16" spans="2:26" x14ac:dyDescent="0.2">
      <c r="B16" s="117" t="s">
        <v>34</v>
      </c>
      <c r="C16" s="120">
        <v>8.5000000000000006E-2</v>
      </c>
      <c r="D16" s="119">
        <v>0.08</v>
      </c>
      <c r="F16" s="6" t="s">
        <v>9</v>
      </c>
      <c r="G16" s="9">
        <f>0+34+29</f>
        <v>63</v>
      </c>
      <c r="H16" s="16">
        <f t="shared" si="0"/>
        <v>8.47913862718708E-2</v>
      </c>
      <c r="I16" s="9">
        <v>33</v>
      </c>
      <c r="J16" s="17">
        <f t="shared" si="1"/>
        <v>8.0097087378640783E-2</v>
      </c>
      <c r="L16" s="11">
        <f t="shared" si="2"/>
        <v>96</v>
      </c>
      <c r="M16" s="56">
        <f t="shared" si="3"/>
        <v>8.3116883116883117E-2</v>
      </c>
    </row>
    <row r="17" spans="2:13" x14ac:dyDescent="0.2">
      <c r="B17" s="117" t="s">
        <v>35</v>
      </c>
      <c r="C17" s="120">
        <v>8.2000000000000003E-2</v>
      </c>
      <c r="D17" s="119">
        <v>0.114</v>
      </c>
      <c r="F17" s="6" t="s">
        <v>10</v>
      </c>
      <c r="G17" s="9">
        <f>0+37+24</f>
        <v>61</v>
      </c>
      <c r="H17" s="16">
        <f t="shared" si="0"/>
        <v>8.2099596231493946E-2</v>
      </c>
      <c r="I17" s="9">
        <v>47</v>
      </c>
      <c r="J17" s="17">
        <f t="shared" si="1"/>
        <v>0.11407766990291263</v>
      </c>
      <c r="L17" s="11">
        <f t="shared" si="2"/>
        <v>108</v>
      </c>
      <c r="M17" s="56">
        <f t="shared" si="3"/>
        <v>9.350649350649351E-2</v>
      </c>
    </row>
    <row r="18" spans="2:13" ht="13.5" thickBot="1" x14ac:dyDescent="0.25">
      <c r="B18" s="121" t="s">
        <v>36</v>
      </c>
      <c r="C18" s="122">
        <v>5.7000000000000002E-2</v>
      </c>
      <c r="D18" s="123">
        <v>0.107</v>
      </c>
      <c r="F18" s="7" t="s">
        <v>11</v>
      </c>
      <c r="G18" s="18">
        <f>1+39+2</f>
        <v>42</v>
      </c>
      <c r="H18" s="19">
        <f t="shared" si="0"/>
        <v>5.652759084791386E-2</v>
      </c>
      <c r="I18" s="18">
        <v>44</v>
      </c>
      <c r="J18" s="20">
        <f t="shared" si="1"/>
        <v>0.10679611650485436</v>
      </c>
      <c r="L18" s="11">
        <f t="shared" si="2"/>
        <v>86</v>
      </c>
      <c r="M18" s="56">
        <f t="shared" si="3"/>
        <v>7.4458874458874461E-2</v>
      </c>
    </row>
    <row r="19" spans="2:13" ht="14.25" thickTop="1" thickBot="1" x14ac:dyDescent="0.25">
      <c r="B19" s="124"/>
      <c r="C19" s="125">
        <f>SUM(C7:C18)</f>
        <v>0.80999999999999994</v>
      </c>
      <c r="D19" s="126">
        <f>SUM(D7:D18)</f>
        <v>0.82699999999999996</v>
      </c>
      <c r="F19" s="1" t="s">
        <v>131</v>
      </c>
      <c r="H19" s="21">
        <f>SUM(H7:H18)</f>
        <v>0.80888290713324362</v>
      </c>
      <c r="J19" s="21">
        <f>SUM(J7:J18)</f>
        <v>0.82766990291262132</v>
      </c>
    </row>
    <row r="20" spans="2:13" ht="13.5" thickTop="1" x14ac:dyDescent="0.2">
      <c r="F20" s="1" t="s">
        <v>21</v>
      </c>
      <c r="G20" s="11">
        <f>3+410+330</f>
        <v>743</v>
      </c>
      <c r="H20" s="21"/>
      <c r="I20" s="11">
        <f>170+2+240</f>
        <v>412</v>
      </c>
      <c r="J20" s="21"/>
    </row>
    <row r="21" spans="2:13" x14ac:dyDescent="0.2">
      <c r="F21" s="1" t="s">
        <v>132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5</v>
      </c>
      <c r="H62" s="14">
        <f>AVERAGE(H7)</f>
        <v>6.7294751009421266E-3</v>
      </c>
      <c r="I62" s="13">
        <f t="shared" ref="I62:I73" si="9">+I7+I25+I43</f>
        <v>1</v>
      </c>
      <c r="J62" s="15">
        <f>+AVERAGE(J7)</f>
        <v>2.4271844660194173E-3</v>
      </c>
    </row>
    <row r="63" spans="6:10" x14ac:dyDescent="0.2">
      <c r="F63" s="6" t="s">
        <v>27</v>
      </c>
      <c r="G63" s="9">
        <f t="shared" si="8"/>
        <v>8</v>
      </c>
      <c r="H63" s="16">
        <f>AVERAGE(H8)</f>
        <v>1.0767160161507403E-2</v>
      </c>
      <c r="I63" s="9">
        <f t="shared" si="9"/>
        <v>4</v>
      </c>
      <c r="J63" s="17">
        <f>+AVERAGE(J8)</f>
        <v>9.7087378640776691E-3</v>
      </c>
    </row>
    <row r="64" spans="6:10" x14ac:dyDescent="0.2">
      <c r="F64" s="6" t="s">
        <v>28</v>
      </c>
      <c r="G64" s="9">
        <f t="shared" si="8"/>
        <v>23</v>
      </c>
      <c r="H64" s="16">
        <f t="shared" ref="H64:H72" si="10">AVERAGE(H9)</f>
        <v>3.095558546433378E-2</v>
      </c>
      <c r="I64" s="9">
        <f t="shared" si="9"/>
        <v>7</v>
      </c>
      <c r="J64" s="17">
        <f t="shared" ref="J64:J72" si="11">+AVERAGE(J9)</f>
        <v>1.6990291262135922E-2</v>
      </c>
    </row>
    <row r="65" spans="6:10" x14ac:dyDescent="0.2">
      <c r="F65" s="6" t="s">
        <v>29</v>
      </c>
      <c r="G65" s="9">
        <f t="shared" si="8"/>
        <v>55</v>
      </c>
      <c r="H65" s="16">
        <f t="shared" si="10"/>
        <v>7.4024226110363398E-2</v>
      </c>
      <c r="I65" s="9">
        <f t="shared" si="9"/>
        <v>11</v>
      </c>
      <c r="J65" s="17">
        <f t="shared" si="11"/>
        <v>2.6699029126213591E-2</v>
      </c>
    </row>
    <row r="66" spans="6:10" x14ac:dyDescent="0.2">
      <c r="F66" s="6" t="s">
        <v>30</v>
      </c>
      <c r="G66" s="9">
        <f t="shared" si="8"/>
        <v>72</v>
      </c>
      <c r="H66" s="16">
        <f t="shared" si="10"/>
        <v>9.6904441453566623E-2</v>
      </c>
      <c r="I66" s="9">
        <f t="shared" si="9"/>
        <v>24</v>
      </c>
      <c r="J66" s="17">
        <f t="shared" si="11"/>
        <v>5.8252427184466021E-2</v>
      </c>
    </row>
    <row r="67" spans="6:10" x14ac:dyDescent="0.2">
      <c r="F67" s="6" t="s">
        <v>37</v>
      </c>
      <c r="G67" s="9">
        <f t="shared" si="8"/>
        <v>73</v>
      </c>
      <c r="H67" s="16">
        <f t="shared" si="10"/>
        <v>9.8250336473755043E-2</v>
      </c>
      <c r="I67" s="9">
        <f t="shared" si="9"/>
        <v>42</v>
      </c>
      <c r="J67" s="17">
        <f t="shared" si="11"/>
        <v>0.10194174757281553</v>
      </c>
    </row>
    <row r="68" spans="6:10" x14ac:dyDescent="0.2">
      <c r="F68" s="6" t="s">
        <v>31</v>
      </c>
      <c r="G68" s="9">
        <f t="shared" si="8"/>
        <v>67</v>
      </c>
      <c r="H68" s="16">
        <f t="shared" si="10"/>
        <v>9.0174966352624494E-2</v>
      </c>
      <c r="I68" s="9">
        <f t="shared" si="9"/>
        <v>36</v>
      </c>
      <c r="J68" s="17">
        <f t="shared" si="11"/>
        <v>8.7378640776699032E-2</v>
      </c>
    </row>
    <row r="69" spans="6:10" x14ac:dyDescent="0.2">
      <c r="F69" s="6" t="s">
        <v>32</v>
      </c>
      <c r="G69" s="9">
        <f t="shared" si="8"/>
        <v>77</v>
      </c>
      <c r="H69" s="16">
        <f t="shared" si="10"/>
        <v>0.10363391655450875</v>
      </c>
      <c r="I69" s="9">
        <f t="shared" si="9"/>
        <v>49</v>
      </c>
      <c r="J69" s="17">
        <f t="shared" si="11"/>
        <v>0.11893203883495146</v>
      </c>
    </row>
    <row r="70" spans="6:10" x14ac:dyDescent="0.2">
      <c r="F70" s="6" t="s">
        <v>33</v>
      </c>
      <c r="G70" s="9">
        <f t="shared" si="8"/>
        <v>55</v>
      </c>
      <c r="H70" s="16">
        <f t="shared" si="10"/>
        <v>7.4024226110363398E-2</v>
      </c>
      <c r="I70" s="9">
        <f t="shared" si="9"/>
        <v>43</v>
      </c>
      <c r="J70" s="17">
        <f t="shared" si="11"/>
        <v>0.10436893203883495</v>
      </c>
    </row>
    <row r="71" spans="6:10" x14ac:dyDescent="0.2">
      <c r="F71" s="6" t="s">
        <v>34</v>
      </c>
      <c r="G71" s="9">
        <f t="shared" si="8"/>
        <v>63</v>
      </c>
      <c r="H71" s="16">
        <f t="shared" si="10"/>
        <v>8.47913862718708E-2</v>
      </c>
      <c r="I71" s="9">
        <f t="shared" si="9"/>
        <v>33</v>
      </c>
      <c r="J71" s="17">
        <f t="shared" si="11"/>
        <v>8.0097087378640783E-2</v>
      </c>
    </row>
    <row r="72" spans="6:10" x14ac:dyDescent="0.2">
      <c r="F72" s="6" t="s">
        <v>35</v>
      </c>
      <c r="G72" s="9">
        <f t="shared" si="8"/>
        <v>61</v>
      </c>
      <c r="H72" s="16">
        <f t="shared" si="10"/>
        <v>8.2099596231493946E-2</v>
      </c>
      <c r="I72" s="9">
        <f t="shared" si="9"/>
        <v>47</v>
      </c>
      <c r="J72" s="17">
        <f t="shared" si="11"/>
        <v>0.11407766990291263</v>
      </c>
    </row>
    <row r="73" spans="6:10" ht="13.5" thickBot="1" x14ac:dyDescent="0.25">
      <c r="F73" s="7" t="s">
        <v>36</v>
      </c>
      <c r="G73" s="18">
        <f t="shared" si="8"/>
        <v>42</v>
      </c>
      <c r="H73" s="65">
        <f>AVERAGE(H18)</f>
        <v>5.652759084791386E-2</v>
      </c>
      <c r="I73" s="18">
        <f t="shared" si="9"/>
        <v>44</v>
      </c>
      <c r="J73" s="20">
        <f>+AVERAGE(J18)</f>
        <v>0.10679611650485436</v>
      </c>
    </row>
    <row r="74" spans="6:10" ht="13.5" thickTop="1" x14ac:dyDescent="0.2">
      <c r="F74" s="12" t="s">
        <v>25</v>
      </c>
      <c r="H74" s="21">
        <f>SUM(H62:H73)</f>
        <v>0.80888290713324362</v>
      </c>
      <c r="J74" s="21">
        <f>SUM(J62:J73)</f>
        <v>0.82766990291262132</v>
      </c>
    </row>
    <row r="75" spans="6:10" x14ac:dyDescent="0.2">
      <c r="F75" s="1" t="s">
        <v>21</v>
      </c>
      <c r="G75" s="64">
        <f>AVERAGE(G20)</f>
        <v>743</v>
      </c>
      <c r="H75" s="21"/>
      <c r="I75" s="11">
        <f>AVERAGE(I20)</f>
        <v>412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54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1.7000000000000001E-2</v>
      </c>
      <c r="D7" s="116">
        <v>1.7000000000000001E-2</v>
      </c>
      <c r="F7" s="8" t="s">
        <v>12</v>
      </c>
      <c r="G7" s="13">
        <f>24+40</f>
        <v>64</v>
      </c>
      <c r="H7" s="14">
        <f t="shared" ref="H7:H18" si="0">G7/$G$20</f>
        <v>1.6477857878475798E-2</v>
      </c>
      <c r="I7" s="13">
        <f>45+27</f>
        <v>72</v>
      </c>
      <c r="J7" s="15">
        <f t="shared" ref="J7:J18" si="1">I7/$I$20</f>
        <v>1.6779305523188067E-2</v>
      </c>
      <c r="L7" s="11">
        <f t="shared" ref="L7:L18" si="2">+G7+I7</f>
        <v>136</v>
      </c>
      <c r="M7" s="56">
        <f t="shared" ref="M7:M18" si="3">+L7/($G$20+$I$20)</f>
        <v>1.6636085626911316E-2</v>
      </c>
    </row>
    <row r="8" spans="2:26" x14ac:dyDescent="0.2">
      <c r="B8" s="117" t="s">
        <v>27</v>
      </c>
      <c r="C8" s="118">
        <v>3.1E-2</v>
      </c>
      <c r="D8" s="119">
        <v>2.8000000000000001E-2</v>
      </c>
      <c r="F8" s="6" t="s">
        <v>1</v>
      </c>
      <c r="G8" s="9">
        <f>22+98</f>
        <v>120</v>
      </c>
      <c r="H8" s="16">
        <f t="shared" si="0"/>
        <v>3.0895983522142123E-2</v>
      </c>
      <c r="I8" s="9">
        <f>75+43</f>
        <v>118</v>
      </c>
      <c r="J8" s="17">
        <f t="shared" si="1"/>
        <v>2.7499417385224888E-2</v>
      </c>
      <c r="L8" s="11">
        <f t="shared" si="2"/>
        <v>238</v>
      </c>
      <c r="M8" s="56">
        <f t="shared" si="3"/>
        <v>2.9113149847094802E-2</v>
      </c>
    </row>
    <row r="9" spans="2:26" x14ac:dyDescent="0.2">
      <c r="B9" s="117" t="s">
        <v>28</v>
      </c>
      <c r="C9" s="120">
        <v>2.8000000000000001E-2</v>
      </c>
      <c r="D9" s="119">
        <v>2.4E-2</v>
      </c>
      <c r="F9" s="6" t="s">
        <v>2</v>
      </c>
      <c r="G9" s="9">
        <f>18+92</f>
        <v>110</v>
      </c>
      <c r="H9" s="16">
        <f t="shared" si="0"/>
        <v>2.8321318228630279E-2</v>
      </c>
      <c r="I9" s="9">
        <f>72+29</f>
        <v>101</v>
      </c>
      <c r="J9" s="17">
        <f t="shared" si="1"/>
        <v>2.3537636914472151E-2</v>
      </c>
      <c r="L9" s="11">
        <f t="shared" si="2"/>
        <v>211</v>
      </c>
      <c r="M9" s="56">
        <f t="shared" si="3"/>
        <v>2.5810397553516818E-2</v>
      </c>
    </row>
    <row r="10" spans="2:26" x14ac:dyDescent="0.2">
      <c r="B10" s="117" t="s">
        <v>29</v>
      </c>
      <c r="C10" s="120">
        <v>5.0999999999999997E-2</v>
      </c>
      <c r="D10" s="119">
        <v>3.5000000000000003E-2</v>
      </c>
      <c r="F10" s="6" t="s">
        <v>3</v>
      </c>
      <c r="G10" s="9">
        <f>38+160</f>
        <v>198</v>
      </c>
      <c r="H10" s="16">
        <f t="shared" si="0"/>
        <v>5.09783728115345E-2</v>
      </c>
      <c r="I10" s="9">
        <f>99+50</f>
        <v>149</v>
      </c>
      <c r="J10" s="17">
        <f t="shared" si="1"/>
        <v>3.4723840596597527E-2</v>
      </c>
      <c r="L10" s="11">
        <f t="shared" si="2"/>
        <v>347</v>
      </c>
      <c r="M10" s="56">
        <f t="shared" si="3"/>
        <v>4.2446483180428138E-2</v>
      </c>
    </row>
    <row r="11" spans="2:26" x14ac:dyDescent="0.2">
      <c r="B11" s="117" t="s">
        <v>30</v>
      </c>
      <c r="C11" s="120">
        <v>6.4000000000000001E-2</v>
      </c>
      <c r="D11" s="119">
        <v>7.1999999999999995E-2</v>
      </c>
      <c r="F11" s="6" t="s">
        <v>4</v>
      </c>
      <c r="G11" s="9">
        <f>59+191</f>
        <v>250</v>
      </c>
      <c r="H11" s="16">
        <f t="shared" si="0"/>
        <v>6.436663233779609E-2</v>
      </c>
      <c r="I11" s="9">
        <f>183+126</f>
        <v>309</v>
      </c>
      <c r="J11" s="17">
        <f t="shared" si="1"/>
        <v>7.2011186203682132E-2</v>
      </c>
      <c r="L11" s="11">
        <f t="shared" si="2"/>
        <v>559</v>
      </c>
      <c r="M11" s="56">
        <f t="shared" si="3"/>
        <v>6.8379204892966367E-2</v>
      </c>
    </row>
    <row r="12" spans="2:26" x14ac:dyDescent="0.2">
      <c r="B12" s="117" t="s">
        <v>37</v>
      </c>
      <c r="C12" s="120">
        <v>8.2000000000000003E-2</v>
      </c>
      <c r="D12" s="119">
        <v>7.4999999999999997E-2</v>
      </c>
      <c r="F12" s="6" t="s">
        <v>5</v>
      </c>
      <c r="G12" s="9">
        <f>65+255</f>
        <v>320</v>
      </c>
      <c r="H12" s="16">
        <f t="shared" si="0"/>
        <v>8.2389289392378995E-2</v>
      </c>
      <c r="I12" s="9">
        <f>195+126</f>
        <v>321</v>
      </c>
      <c r="J12" s="17">
        <f t="shared" si="1"/>
        <v>7.4807737124213472E-2</v>
      </c>
      <c r="L12" s="11">
        <f t="shared" si="2"/>
        <v>641</v>
      </c>
      <c r="M12" s="56">
        <f t="shared" si="3"/>
        <v>7.8409785932721715E-2</v>
      </c>
    </row>
    <row r="13" spans="2:26" x14ac:dyDescent="0.2">
      <c r="B13" s="117" t="s">
        <v>31</v>
      </c>
      <c r="C13" s="120">
        <v>9.2999999999999999E-2</v>
      </c>
      <c r="D13" s="119">
        <v>0.09</v>
      </c>
      <c r="F13" s="6" t="s">
        <v>6</v>
      </c>
      <c r="G13" s="9">
        <f>64+297</f>
        <v>361</v>
      </c>
      <c r="H13" s="16">
        <f t="shared" si="0"/>
        <v>9.2945417095777555E-2</v>
      </c>
      <c r="I13" s="9">
        <f>288+99</f>
        <v>387</v>
      </c>
      <c r="J13" s="17">
        <f t="shared" si="1"/>
        <v>9.0188767187135865E-2</v>
      </c>
      <c r="L13" s="11">
        <f t="shared" si="2"/>
        <v>748</v>
      </c>
      <c r="M13" s="56">
        <f t="shared" si="3"/>
        <v>9.1498470948012237E-2</v>
      </c>
    </row>
    <row r="14" spans="2:26" x14ac:dyDescent="0.2">
      <c r="B14" s="117" t="s">
        <v>32</v>
      </c>
      <c r="C14" s="120">
        <v>6.2E-2</v>
      </c>
      <c r="D14" s="119">
        <v>0.08</v>
      </c>
      <c r="F14" s="6" t="s">
        <v>7</v>
      </c>
      <c r="G14" s="9">
        <f>61+178</f>
        <v>239</v>
      </c>
      <c r="H14" s="16">
        <f t="shared" si="0"/>
        <v>6.153450051493306E-2</v>
      </c>
      <c r="I14" s="9">
        <f>254+90</f>
        <v>344</v>
      </c>
      <c r="J14" s="17">
        <f t="shared" si="1"/>
        <v>8.0167793055231876E-2</v>
      </c>
      <c r="L14" s="11">
        <f t="shared" si="2"/>
        <v>583</v>
      </c>
      <c r="M14" s="56">
        <f t="shared" si="3"/>
        <v>7.1314984709480125E-2</v>
      </c>
    </row>
    <row r="15" spans="2:26" x14ac:dyDescent="0.2">
      <c r="B15" s="117" t="s">
        <v>33</v>
      </c>
      <c r="C15" s="120">
        <v>6.8000000000000005E-2</v>
      </c>
      <c r="D15" s="119">
        <v>7.8E-2</v>
      </c>
      <c r="F15" s="6" t="s">
        <v>8</v>
      </c>
      <c r="G15" s="9">
        <f>71+191</f>
        <v>262</v>
      </c>
      <c r="H15" s="16">
        <f t="shared" si="0"/>
        <v>6.7456230690010305E-2</v>
      </c>
      <c r="I15" s="9">
        <f>241+92</f>
        <v>333</v>
      </c>
      <c r="J15" s="17">
        <f t="shared" si="1"/>
        <v>7.7604288044744812E-2</v>
      </c>
      <c r="L15" s="11">
        <f t="shared" si="2"/>
        <v>595</v>
      </c>
      <c r="M15" s="56">
        <f t="shared" si="3"/>
        <v>7.2782874617736998E-2</v>
      </c>
    </row>
    <row r="16" spans="2:26" x14ac:dyDescent="0.2">
      <c r="B16" s="117" t="s">
        <v>34</v>
      </c>
      <c r="C16" s="120">
        <v>6.6000000000000003E-2</v>
      </c>
      <c r="D16" s="119">
        <v>6.7000000000000004E-2</v>
      </c>
      <c r="F16" s="6" t="s">
        <v>9</v>
      </c>
      <c r="G16" s="9">
        <f>54+204</f>
        <v>258</v>
      </c>
      <c r="H16" s="16">
        <f t="shared" si="0"/>
        <v>6.6426364572605562E-2</v>
      </c>
      <c r="I16" s="9">
        <f>220+67</f>
        <v>287</v>
      </c>
      <c r="J16" s="17">
        <f t="shared" si="1"/>
        <v>6.6884176182707991E-2</v>
      </c>
      <c r="L16" s="11">
        <f t="shared" si="2"/>
        <v>545</v>
      </c>
      <c r="M16" s="56">
        <f t="shared" si="3"/>
        <v>6.6666666666666666E-2</v>
      </c>
    </row>
    <row r="17" spans="2:13" x14ac:dyDescent="0.2">
      <c r="B17" s="117" t="s">
        <v>35</v>
      </c>
      <c r="C17" s="120">
        <v>7.3999999999999996E-2</v>
      </c>
      <c r="D17" s="119">
        <v>7.0000000000000007E-2</v>
      </c>
      <c r="F17" s="6" t="s">
        <v>10</v>
      </c>
      <c r="G17" s="9">
        <f>65+223</f>
        <v>288</v>
      </c>
      <c r="H17" s="16">
        <f t="shared" si="0"/>
        <v>7.4150360453141093E-2</v>
      </c>
      <c r="I17" s="9">
        <f>200+99</f>
        <v>299</v>
      </c>
      <c r="J17" s="17">
        <f t="shared" si="1"/>
        <v>6.9680727103239332E-2</v>
      </c>
      <c r="L17" s="11">
        <f t="shared" si="2"/>
        <v>587</v>
      </c>
      <c r="M17" s="56">
        <f t="shared" si="3"/>
        <v>7.1804281345565754E-2</v>
      </c>
    </row>
    <row r="18" spans="2:13" ht="13.5" thickBot="1" x14ac:dyDescent="0.25">
      <c r="B18" s="121" t="s">
        <v>36</v>
      </c>
      <c r="C18" s="122">
        <v>5.3999999999999999E-2</v>
      </c>
      <c r="D18" s="123">
        <v>5.6000000000000001E-2</v>
      </c>
      <c r="F18" s="7" t="s">
        <v>11</v>
      </c>
      <c r="G18" s="18">
        <f>44+166</f>
        <v>210</v>
      </c>
      <c r="H18" s="19">
        <f t="shared" si="0"/>
        <v>5.4067971163748715E-2</v>
      </c>
      <c r="I18" s="18">
        <f>174+67</f>
        <v>241</v>
      </c>
      <c r="J18" s="20">
        <f t="shared" si="1"/>
        <v>5.616406432067117E-2</v>
      </c>
      <c r="L18" s="11">
        <f t="shared" si="2"/>
        <v>451</v>
      </c>
      <c r="M18" s="56">
        <f t="shared" si="3"/>
        <v>5.5168195718654431E-2</v>
      </c>
    </row>
    <row r="19" spans="2:13" ht="14.25" thickTop="1" thickBot="1" x14ac:dyDescent="0.25">
      <c r="B19" s="124"/>
      <c r="C19" s="125">
        <f>SUM(C7:C18)</f>
        <v>0.69000000000000006</v>
      </c>
      <c r="D19" s="126">
        <f>SUM(D7:D18)</f>
        <v>0.69200000000000017</v>
      </c>
      <c r="F19" s="1" t="s">
        <v>55</v>
      </c>
      <c r="H19" s="21">
        <f>SUM(H7:H18)</f>
        <v>0.69001029866117392</v>
      </c>
      <c r="J19" s="21">
        <f>SUM(J7:J18)</f>
        <v>0.69004893964110936</v>
      </c>
    </row>
    <row r="20" spans="2:13" ht="13.5" thickTop="1" x14ac:dyDescent="0.2">
      <c r="F20" s="1" t="s">
        <v>21</v>
      </c>
      <c r="G20" s="11">
        <f>848+3036</f>
        <v>3884</v>
      </c>
      <c r="H20" s="21"/>
      <c r="I20" s="11">
        <f>2965+1326</f>
        <v>4291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64</v>
      </c>
      <c r="H62" s="14">
        <f t="shared" ref="H62:H73" si="9">AVERAGE(H7)</f>
        <v>1.6477857878475798E-2</v>
      </c>
      <c r="I62" s="13">
        <f t="shared" ref="I62:I73" si="10">+I7+I25+I43</f>
        <v>72</v>
      </c>
      <c r="J62" s="15">
        <f t="shared" ref="J62:J73" si="11">+AVERAGE(J7)</f>
        <v>1.6779305523188067E-2</v>
      </c>
    </row>
    <row r="63" spans="6:10" x14ac:dyDescent="0.2">
      <c r="F63" s="6" t="s">
        <v>27</v>
      </c>
      <c r="G63" s="9">
        <f t="shared" si="8"/>
        <v>120</v>
      </c>
      <c r="H63" s="22">
        <f t="shared" si="9"/>
        <v>3.0895983522142123E-2</v>
      </c>
      <c r="I63" s="9">
        <f t="shared" si="10"/>
        <v>118</v>
      </c>
      <c r="J63" s="17">
        <f t="shared" si="11"/>
        <v>2.7499417385224888E-2</v>
      </c>
    </row>
    <row r="64" spans="6:10" x14ac:dyDescent="0.2">
      <c r="F64" s="6" t="s">
        <v>28</v>
      </c>
      <c r="G64" s="9">
        <f t="shared" si="8"/>
        <v>110</v>
      </c>
      <c r="H64" s="22">
        <f t="shared" si="9"/>
        <v>2.8321318228630279E-2</v>
      </c>
      <c r="I64" s="9">
        <f t="shared" si="10"/>
        <v>101</v>
      </c>
      <c r="J64" s="17">
        <f t="shared" si="11"/>
        <v>2.3537636914472151E-2</v>
      </c>
    </row>
    <row r="65" spans="6:10" x14ac:dyDescent="0.2">
      <c r="F65" s="6" t="s">
        <v>29</v>
      </c>
      <c r="G65" s="9">
        <f t="shared" si="8"/>
        <v>198</v>
      </c>
      <c r="H65" s="22">
        <f t="shared" si="9"/>
        <v>5.09783728115345E-2</v>
      </c>
      <c r="I65" s="9">
        <f t="shared" si="10"/>
        <v>149</v>
      </c>
      <c r="J65" s="17">
        <f t="shared" si="11"/>
        <v>3.4723840596597527E-2</v>
      </c>
    </row>
    <row r="66" spans="6:10" x14ac:dyDescent="0.2">
      <c r="F66" s="6" t="s">
        <v>30</v>
      </c>
      <c r="G66" s="9">
        <f t="shared" si="8"/>
        <v>250</v>
      </c>
      <c r="H66" s="22">
        <f t="shared" si="9"/>
        <v>6.436663233779609E-2</v>
      </c>
      <c r="I66" s="9">
        <f t="shared" si="10"/>
        <v>309</v>
      </c>
      <c r="J66" s="17">
        <f t="shared" si="11"/>
        <v>7.2011186203682132E-2</v>
      </c>
    </row>
    <row r="67" spans="6:10" x14ac:dyDescent="0.2">
      <c r="F67" s="6" t="s">
        <v>37</v>
      </c>
      <c r="G67" s="9">
        <f t="shared" si="8"/>
        <v>320</v>
      </c>
      <c r="H67" s="22">
        <f t="shared" si="9"/>
        <v>8.2389289392378995E-2</v>
      </c>
      <c r="I67" s="9">
        <f t="shared" si="10"/>
        <v>321</v>
      </c>
      <c r="J67" s="17">
        <f t="shared" si="11"/>
        <v>7.4807737124213472E-2</v>
      </c>
    </row>
    <row r="68" spans="6:10" x14ac:dyDescent="0.2">
      <c r="F68" s="6" t="s">
        <v>31</v>
      </c>
      <c r="G68" s="9">
        <f t="shared" si="8"/>
        <v>361</v>
      </c>
      <c r="H68" s="22">
        <f t="shared" si="9"/>
        <v>9.2945417095777555E-2</v>
      </c>
      <c r="I68" s="9">
        <f t="shared" si="10"/>
        <v>387</v>
      </c>
      <c r="J68" s="17">
        <f t="shared" si="11"/>
        <v>9.0188767187135865E-2</v>
      </c>
    </row>
    <row r="69" spans="6:10" x14ac:dyDescent="0.2">
      <c r="F69" s="6" t="s">
        <v>32</v>
      </c>
      <c r="G69" s="9">
        <f t="shared" si="8"/>
        <v>239</v>
      </c>
      <c r="H69" s="22">
        <f t="shared" si="9"/>
        <v>6.153450051493306E-2</v>
      </c>
      <c r="I69" s="9">
        <f t="shared" si="10"/>
        <v>344</v>
      </c>
      <c r="J69" s="17">
        <f t="shared" si="11"/>
        <v>8.0167793055231876E-2</v>
      </c>
    </row>
    <row r="70" spans="6:10" x14ac:dyDescent="0.2">
      <c r="F70" s="6" t="s">
        <v>33</v>
      </c>
      <c r="G70" s="9">
        <f t="shared" si="8"/>
        <v>262</v>
      </c>
      <c r="H70" s="22">
        <f t="shared" si="9"/>
        <v>6.7456230690010305E-2</v>
      </c>
      <c r="I70" s="9">
        <f t="shared" si="10"/>
        <v>333</v>
      </c>
      <c r="J70" s="17">
        <f t="shared" si="11"/>
        <v>7.7604288044744812E-2</v>
      </c>
    </row>
    <row r="71" spans="6:10" x14ac:dyDescent="0.2">
      <c r="F71" s="6" t="s">
        <v>34</v>
      </c>
      <c r="G71" s="9">
        <f t="shared" si="8"/>
        <v>258</v>
      </c>
      <c r="H71" s="22">
        <f t="shared" si="9"/>
        <v>6.6426364572605562E-2</v>
      </c>
      <c r="I71" s="9">
        <f t="shared" si="10"/>
        <v>287</v>
      </c>
      <c r="J71" s="17">
        <f t="shared" si="11"/>
        <v>6.6884176182707991E-2</v>
      </c>
    </row>
    <row r="72" spans="6:10" x14ac:dyDescent="0.2">
      <c r="F72" s="6" t="s">
        <v>35</v>
      </c>
      <c r="G72" s="9">
        <f t="shared" si="8"/>
        <v>288</v>
      </c>
      <c r="H72" s="22">
        <f t="shared" si="9"/>
        <v>7.4150360453141093E-2</v>
      </c>
      <c r="I72" s="9">
        <f t="shared" si="10"/>
        <v>299</v>
      </c>
      <c r="J72" s="17">
        <f t="shared" si="11"/>
        <v>6.9680727103239332E-2</v>
      </c>
    </row>
    <row r="73" spans="6:10" ht="13.5" thickBot="1" x14ac:dyDescent="0.25">
      <c r="F73" s="7" t="s">
        <v>36</v>
      </c>
      <c r="G73" s="18">
        <f t="shared" si="8"/>
        <v>210</v>
      </c>
      <c r="H73" s="19">
        <f t="shared" si="9"/>
        <v>5.4067971163748715E-2</v>
      </c>
      <c r="I73" s="18">
        <f t="shared" si="10"/>
        <v>241</v>
      </c>
      <c r="J73" s="20">
        <f t="shared" si="11"/>
        <v>5.616406432067117E-2</v>
      </c>
    </row>
    <row r="74" spans="6:10" ht="13.5" thickTop="1" x14ac:dyDescent="0.2">
      <c r="F74" s="12" t="s">
        <v>25</v>
      </c>
      <c r="H74" s="21">
        <f>SUM(H62:H73)</f>
        <v>0.69001029866117392</v>
      </c>
      <c r="J74" s="21">
        <f>SUM(J62:J73)</f>
        <v>0.69004893964110936</v>
      </c>
    </row>
    <row r="75" spans="6:10" x14ac:dyDescent="0.2">
      <c r="F75" s="1" t="s">
        <v>21</v>
      </c>
      <c r="G75" s="11">
        <f>+G20+G38+G56</f>
        <v>3884</v>
      </c>
      <c r="H75" s="21"/>
      <c r="I75" s="11">
        <f>+I20+I38+I56</f>
        <v>4291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A964-27BF-49BD-81FC-9BA913D10CF4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235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0.1709</v>
      </c>
      <c r="D7" s="163">
        <v>2.6500000000000003E-2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0.13739999999999999</v>
      </c>
      <c r="D8" s="166">
        <v>3.2500000000000001E-2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6.2E-2</v>
      </c>
      <c r="D9" s="166">
        <v>2.6700000000000002E-2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3.8900000000000004E-2</v>
      </c>
      <c r="D10" s="166">
        <v>2.9600000000000001E-2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3.3500000000000002E-2</v>
      </c>
      <c r="D11" s="166">
        <v>3.0300000000000001E-2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6.2700000000000006E-2</v>
      </c>
      <c r="D12" s="166">
        <v>4.87E-2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8.9400000000000007E-2</v>
      </c>
      <c r="D13" s="166">
        <v>6.2800000000000009E-2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6.7400000000000002E-2</v>
      </c>
      <c r="D14" s="166">
        <v>6.7100000000000007E-2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5.1300000000000005E-2</v>
      </c>
      <c r="D15" s="166">
        <v>7.1099999999999997E-2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9.3600000000000003E-2</v>
      </c>
      <c r="D16" s="166">
        <v>0.20620000000000002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3.4200000000000001E-2</v>
      </c>
      <c r="D17" s="166">
        <v>0.1153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2.6000000000000002E-2</v>
      </c>
      <c r="D18" s="166">
        <v>9.5899999999999999E-2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1.2400000000000001E-2</v>
      </c>
      <c r="D19" s="166">
        <v>2.6700000000000002E-2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1.0800000000000001E-2</v>
      </c>
      <c r="D20" s="166">
        <v>1.4800000000000001E-2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9.6000000000000009E-3</v>
      </c>
      <c r="D21" s="166">
        <v>1.5300000000000001E-2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1.1900000000000001E-2</v>
      </c>
      <c r="D22" s="166">
        <v>2.1000000000000001E-2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8.8000000000000009E-2</v>
      </c>
      <c r="D23" s="168">
        <v>0.1095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1.0000000000000002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236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24.7109375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54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80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7.5999999999999998E-2</v>
      </c>
      <c r="D7" s="116">
        <v>1.9E-2</v>
      </c>
      <c r="F7" s="8" t="s">
        <v>12</v>
      </c>
      <c r="G7" s="13">
        <f>89+92</f>
        <v>181</v>
      </c>
      <c r="H7" s="14">
        <f t="shared" ref="H7:H18" si="0">G7/$G$20</f>
        <v>0.12163978494623656</v>
      </c>
      <c r="I7" s="13">
        <f>28+17</f>
        <v>45</v>
      </c>
      <c r="J7" s="15">
        <f t="shared" ref="J7:J18" si="1">I7/$I$20</f>
        <v>2.8391167192429023E-2</v>
      </c>
      <c r="L7" s="11">
        <f t="shared" ref="L7:L18" si="2">+G7+I7</f>
        <v>226</v>
      </c>
      <c r="M7" s="56">
        <f t="shared" ref="M7:M18" si="3">+L7/($G$20+$I$20)</f>
        <v>7.354376830458835E-2</v>
      </c>
    </row>
    <row r="8" spans="2:26" x14ac:dyDescent="0.2">
      <c r="B8" s="117" t="s">
        <v>27</v>
      </c>
      <c r="C8" s="118">
        <v>0.11700000000000001</v>
      </c>
      <c r="D8" s="119">
        <v>2.8000000000000001E-2</v>
      </c>
      <c r="F8" s="6" t="s">
        <v>1</v>
      </c>
      <c r="G8" s="9">
        <f>104+96</f>
        <v>200</v>
      </c>
      <c r="H8" s="16">
        <f t="shared" si="0"/>
        <v>0.13440860215053763</v>
      </c>
      <c r="I8" s="9">
        <f>49+19</f>
        <v>68</v>
      </c>
      <c r="J8" s="17">
        <f t="shared" si="1"/>
        <v>4.2902208201892743E-2</v>
      </c>
      <c r="L8" s="11">
        <f t="shared" si="2"/>
        <v>268</v>
      </c>
      <c r="M8" s="56">
        <f t="shared" si="3"/>
        <v>8.721119427269769E-2</v>
      </c>
    </row>
    <row r="9" spans="2:26" x14ac:dyDescent="0.2">
      <c r="B9" s="117" t="s">
        <v>28</v>
      </c>
      <c r="C9" s="120">
        <v>6.6000000000000003E-2</v>
      </c>
      <c r="D9" s="119">
        <v>2.3E-2</v>
      </c>
      <c r="F9" s="6" t="s">
        <v>2</v>
      </c>
      <c r="G9" s="9">
        <f>54+38</f>
        <v>92</v>
      </c>
      <c r="H9" s="16">
        <f t="shared" si="0"/>
        <v>6.1827956989247312E-2</v>
      </c>
      <c r="I9" s="9">
        <f>30+16</f>
        <v>46</v>
      </c>
      <c r="J9" s="17">
        <f t="shared" si="1"/>
        <v>2.9022082018927444E-2</v>
      </c>
      <c r="L9" s="11">
        <f t="shared" si="2"/>
        <v>138</v>
      </c>
      <c r="M9" s="56">
        <f t="shared" si="3"/>
        <v>4.4907256752359258E-2</v>
      </c>
    </row>
    <row r="10" spans="2:26" x14ac:dyDescent="0.2">
      <c r="B10" s="117" t="s">
        <v>29</v>
      </c>
      <c r="C10" s="120">
        <v>0.04</v>
      </c>
      <c r="D10" s="119">
        <v>2.5000000000000001E-2</v>
      </c>
      <c r="F10" s="6" t="s">
        <v>3</v>
      </c>
      <c r="G10" s="9">
        <f>11+18</f>
        <v>29</v>
      </c>
      <c r="H10" s="16">
        <f t="shared" si="0"/>
        <v>1.9489247311827957E-2</v>
      </c>
      <c r="I10" s="9">
        <f>9+24</f>
        <v>33</v>
      </c>
      <c r="J10" s="17">
        <f t="shared" si="1"/>
        <v>2.082018927444795E-2</v>
      </c>
      <c r="L10" s="11">
        <f t="shared" si="2"/>
        <v>62</v>
      </c>
      <c r="M10" s="56">
        <f t="shared" si="3"/>
        <v>2.0175724048161404E-2</v>
      </c>
    </row>
    <row r="11" spans="2:26" x14ac:dyDescent="0.2">
      <c r="B11" s="117" t="s">
        <v>30</v>
      </c>
      <c r="C11" s="120">
        <v>0.04</v>
      </c>
      <c r="D11" s="119">
        <v>3.7999999999999999E-2</v>
      </c>
      <c r="F11" s="6" t="s">
        <v>4</v>
      </c>
      <c r="G11" s="9">
        <f>21+19</f>
        <v>40</v>
      </c>
      <c r="H11" s="16">
        <f t="shared" si="0"/>
        <v>2.6881720430107527E-2</v>
      </c>
      <c r="I11" s="9">
        <f>26+15</f>
        <v>41</v>
      </c>
      <c r="J11" s="17">
        <f t="shared" si="1"/>
        <v>2.5867507886435333E-2</v>
      </c>
      <c r="L11" s="11">
        <f t="shared" si="2"/>
        <v>81</v>
      </c>
      <c r="M11" s="56">
        <f t="shared" si="3"/>
        <v>2.6358607224210868E-2</v>
      </c>
    </row>
    <row r="12" spans="2:26" x14ac:dyDescent="0.2">
      <c r="B12" s="117" t="s">
        <v>37</v>
      </c>
      <c r="C12" s="120">
        <v>5.1999999999999998E-2</v>
      </c>
      <c r="D12" s="119">
        <v>7.0999999999999994E-2</v>
      </c>
      <c r="F12" s="6" t="s">
        <v>5</v>
      </c>
      <c r="G12" s="9">
        <f>32+29</f>
        <v>61</v>
      </c>
      <c r="H12" s="16">
        <f t="shared" si="0"/>
        <v>4.0994623655913977E-2</v>
      </c>
      <c r="I12" s="9">
        <f>59+41</f>
        <v>100</v>
      </c>
      <c r="J12" s="17">
        <f t="shared" si="1"/>
        <v>6.3091482649842268E-2</v>
      </c>
      <c r="L12" s="11">
        <f t="shared" si="2"/>
        <v>161</v>
      </c>
      <c r="M12" s="56">
        <f t="shared" si="3"/>
        <v>5.2391799544419138E-2</v>
      </c>
    </row>
    <row r="13" spans="2:26" x14ac:dyDescent="0.2">
      <c r="B13" s="117" t="s">
        <v>31</v>
      </c>
      <c r="C13" s="120">
        <v>8.2000000000000003E-2</v>
      </c>
      <c r="D13" s="119">
        <v>8.4000000000000005E-2</v>
      </c>
      <c r="F13" s="6" t="s">
        <v>6</v>
      </c>
      <c r="G13" s="9">
        <f>55+56</f>
        <v>111</v>
      </c>
      <c r="H13" s="16">
        <f t="shared" si="0"/>
        <v>7.459677419354839E-2</v>
      </c>
      <c r="I13" s="9">
        <f>55+33</f>
        <v>88</v>
      </c>
      <c r="J13" s="17">
        <f t="shared" si="1"/>
        <v>5.5520504731861202E-2</v>
      </c>
      <c r="L13" s="11">
        <f t="shared" si="2"/>
        <v>199</v>
      </c>
      <c r="M13" s="56">
        <f t="shared" si="3"/>
        <v>6.4757565896518057E-2</v>
      </c>
    </row>
    <row r="14" spans="2:26" x14ac:dyDescent="0.2">
      <c r="B14" s="117" t="s">
        <v>32</v>
      </c>
      <c r="C14" s="120">
        <v>6.8000000000000005E-2</v>
      </c>
      <c r="D14" s="119">
        <v>5.8999999999999997E-2</v>
      </c>
      <c r="F14" s="6" t="s">
        <v>7</v>
      </c>
      <c r="G14" s="9">
        <f>47+41</f>
        <v>88</v>
      </c>
      <c r="H14" s="16">
        <f t="shared" si="0"/>
        <v>5.9139784946236562E-2</v>
      </c>
      <c r="I14" s="9">
        <f>36+24</f>
        <v>60</v>
      </c>
      <c r="J14" s="17">
        <f t="shared" si="1"/>
        <v>3.7854889589905363E-2</v>
      </c>
      <c r="L14" s="11">
        <f t="shared" si="2"/>
        <v>148</v>
      </c>
      <c r="M14" s="56">
        <f t="shared" si="3"/>
        <v>4.8161405792385294E-2</v>
      </c>
    </row>
    <row r="15" spans="2:26" x14ac:dyDescent="0.2">
      <c r="B15" s="117" t="s">
        <v>33</v>
      </c>
      <c r="C15" s="120">
        <v>7.0000000000000007E-2</v>
      </c>
      <c r="D15" s="119">
        <v>0.13200000000000001</v>
      </c>
      <c r="F15" s="6" t="s">
        <v>8</v>
      </c>
      <c r="G15" s="9">
        <f>42+38</f>
        <v>80</v>
      </c>
      <c r="H15" s="16">
        <f t="shared" si="0"/>
        <v>5.3763440860215055E-2</v>
      </c>
      <c r="I15" s="9">
        <f>173+94</f>
        <v>267</v>
      </c>
      <c r="J15" s="17">
        <f t="shared" si="1"/>
        <v>0.16845425867507888</v>
      </c>
      <c r="L15" s="11">
        <f t="shared" si="2"/>
        <v>347</v>
      </c>
      <c r="M15" s="56">
        <f t="shared" si="3"/>
        <v>0.11291897168890336</v>
      </c>
    </row>
    <row r="16" spans="2:26" x14ac:dyDescent="0.2">
      <c r="B16" s="117" t="s">
        <v>34</v>
      </c>
      <c r="C16" s="120">
        <v>3.1E-2</v>
      </c>
      <c r="D16" s="119">
        <v>0.107</v>
      </c>
      <c r="F16" s="6" t="s">
        <v>9</v>
      </c>
      <c r="G16" s="9">
        <f>25+18</f>
        <v>43</v>
      </c>
      <c r="H16" s="16">
        <f t="shared" si="0"/>
        <v>2.889784946236559E-2</v>
      </c>
      <c r="I16" s="9">
        <f>116+62</f>
        <v>178</v>
      </c>
      <c r="J16" s="17">
        <f t="shared" si="1"/>
        <v>0.11230283911671925</v>
      </c>
      <c r="L16" s="11">
        <f t="shared" si="2"/>
        <v>221</v>
      </c>
      <c r="M16" s="56">
        <f t="shared" si="3"/>
        <v>7.1916693784575339E-2</v>
      </c>
    </row>
    <row r="17" spans="2:13" x14ac:dyDescent="0.2">
      <c r="B17" s="117" t="s">
        <v>35</v>
      </c>
      <c r="C17" s="120">
        <v>3.3000000000000002E-2</v>
      </c>
      <c r="D17" s="119">
        <v>7.9000000000000001E-2</v>
      </c>
      <c r="F17" s="6" t="s">
        <v>10</v>
      </c>
      <c r="G17" s="9">
        <f>28+30</f>
        <v>58</v>
      </c>
      <c r="H17" s="16">
        <f t="shared" si="0"/>
        <v>3.8978494623655914E-2</v>
      </c>
      <c r="I17" s="9">
        <f>81+45</f>
        <v>126</v>
      </c>
      <c r="J17" s="17">
        <f t="shared" si="1"/>
        <v>7.9495268138801256E-2</v>
      </c>
      <c r="L17" s="11">
        <f t="shared" si="2"/>
        <v>184</v>
      </c>
      <c r="M17" s="56">
        <f t="shared" si="3"/>
        <v>5.987634233647901E-2</v>
      </c>
    </row>
    <row r="18" spans="2:13" ht="13.5" thickBot="1" x14ac:dyDescent="0.25">
      <c r="B18" s="121" t="s">
        <v>36</v>
      </c>
      <c r="C18" s="122">
        <v>2.1999999999999999E-2</v>
      </c>
      <c r="D18" s="123">
        <v>4.8000000000000001E-2</v>
      </c>
      <c r="F18" s="7" t="s">
        <v>11</v>
      </c>
      <c r="G18" s="18">
        <f>18+26</f>
        <v>44</v>
      </c>
      <c r="H18" s="19">
        <f t="shared" si="0"/>
        <v>2.9569892473118281E-2</v>
      </c>
      <c r="I18" s="18">
        <f>22+20</f>
        <v>42</v>
      </c>
      <c r="J18" s="20">
        <f t="shared" si="1"/>
        <v>2.6498422712933754E-2</v>
      </c>
      <c r="L18" s="11">
        <f t="shared" si="2"/>
        <v>86</v>
      </c>
      <c r="M18" s="56">
        <f t="shared" si="3"/>
        <v>2.7985681744223886E-2</v>
      </c>
    </row>
    <row r="19" spans="2:13" ht="14.25" thickTop="1" thickBot="1" x14ac:dyDescent="0.25">
      <c r="B19" s="124"/>
      <c r="C19" s="125">
        <f>SUM(C7:C18)</f>
        <v>0.69700000000000006</v>
      </c>
      <c r="D19" s="126">
        <f>SUM(D7:D18)</f>
        <v>0.71300000000000008</v>
      </c>
      <c r="F19" s="1" t="s">
        <v>55</v>
      </c>
      <c r="H19" s="21">
        <f>SUM(H7:H18)</f>
        <v>0.69018817204301064</v>
      </c>
      <c r="J19" s="21">
        <f>SUM(J7:J18)</f>
        <v>0.69022082018927444</v>
      </c>
    </row>
    <row r="20" spans="2:13" ht="13.5" thickTop="1" x14ac:dyDescent="0.2">
      <c r="F20" s="1" t="s">
        <v>21</v>
      </c>
      <c r="G20" s="11">
        <f>762+726</f>
        <v>1488</v>
      </c>
      <c r="H20" s="21"/>
      <c r="I20" s="11">
        <f>991+594</f>
        <v>1585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65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12+20+3</f>
        <v>35</v>
      </c>
      <c r="H25" s="14">
        <f>G25/G38</f>
        <v>3.0959752321981424E-2</v>
      </c>
      <c r="I25" s="13">
        <v>32</v>
      </c>
      <c r="J25" s="15">
        <f t="shared" ref="J25:J36" si="4">I25/$I$38</f>
        <v>2.1443984292281507E-2</v>
      </c>
    </row>
    <row r="26" spans="2:13" x14ac:dyDescent="0.2">
      <c r="F26" s="6" t="s">
        <v>1</v>
      </c>
      <c r="G26" s="9">
        <f>32+26+1</f>
        <v>59</v>
      </c>
      <c r="H26" s="16">
        <f t="shared" ref="H26:H36" si="5">G26/$G$38</f>
        <v>5.2189296771340113E-2</v>
      </c>
      <c r="I26" s="9">
        <v>33</v>
      </c>
      <c r="J26" s="17">
        <f t="shared" si="4"/>
        <v>2.2114108801415303E-2</v>
      </c>
    </row>
    <row r="27" spans="2:13" x14ac:dyDescent="0.2">
      <c r="F27" s="6" t="s">
        <v>2</v>
      </c>
      <c r="G27" s="9">
        <f>40+6+1</f>
        <v>47</v>
      </c>
      <c r="H27" s="16">
        <f t="shared" si="5"/>
        <v>4.1574524546660767E-2</v>
      </c>
      <c r="I27" s="9">
        <v>38</v>
      </c>
      <c r="J27" s="17">
        <f t="shared" si="4"/>
        <v>2.5464731347084289E-2</v>
      </c>
    </row>
    <row r="28" spans="2:13" x14ac:dyDescent="0.2">
      <c r="F28" s="6" t="s">
        <v>3</v>
      </c>
      <c r="G28" s="9">
        <f>58+10+0</f>
        <v>68</v>
      </c>
      <c r="H28" s="16">
        <f t="shared" si="5"/>
        <v>6.0150375939849621E-2</v>
      </c>
      <c r="I28" s="9">
        <v>52</v>
      </c>
      <c r="J28" s="17">
        <f t="shared" si="4"/>
        <v>3.4846474474957451E-2</v>
      </c>
    </row>
    <row r="29" spans="2:13" x14ac:dyDescent="0.2">
      <c r="F29" s="6" t="s">
        <v>4</v>
      </c>
      <c r="G29" s="9">
        <f>66+10+7</f>
        <v>83</v>
      </c>
      <c r="H29" s="16">
        <f t="shared" si="5"/>
        <v>7.3418841220698805E-2</v>
      </c>
      <c r="I29" s="9">
        <v>94</v>
      </c>
      <c r="J29" s="17">
        <f t="shared" si="4"/>
        <v>6.2991703858576928E-2</v>
      </c>
    </row>
    <row r="30" spans="2:13" x14ac:dyDescent="0.2">
      <c r="F30" s="6" t="s">
        <v>5</v>
      </c>
      <c r="G30" s="9">
        <f>87+11+5</f>
        <v>103</v>
      </c>
      <c r="H30" s="16">
        <f t="shared" si="5"/>
        <v>9.1110128261831042E-2</v>
      </c>
      <c r="I30" s="9">
        <v>148</v>
      </c>
      <c r="J30" s="17">
        <f t="shared" si="4"/>
        <v>9.9178427351801962E-2</v>
      </c>
    </row>
    <row r="31" spans="2:13" x14ac:dyDescent="0.2">
      <c r="F31" s="6" t="s">
        <v>6</v>
      </c>
      <c r="G31" s="9">
        <f>107+18+4</f>
        <v>129</v>
      </c>
      <c r="H31" s="16">
        <f t="shared" si="5"/>
        <v>0.11410880141530297</v>
      </c>
      <c r="I31" s="9">
        <v>210</v>
      </c>
      <c r="J31" s="17">
        <f t="shared" si="4"/>
        <v>0.14072614691809737</v>
      </c>
    </row>
    <row r="32" spans="2:13" x14ac:dyDescent="0.2">
      <c r="F32" s="6" t="s">
        <v>7</v>
      </c>
      <c r="G32" s="9">
        <f>101+7+3</f>
        <v>111</v>
      </c>
      <c r="H32" s="16">
        <f t="shared" si="5"/>
        <v>9.8186643078283939E-2</v>
      </c>
      <c r="I32" s="9">
        <v>165</v>
      </c>
      <c r="J32" s="17">
        <f t="shared" si="4"/>
        <v>0.11057054400707651</v>
      </c>
    </row>
    <row r="33" spans="6:10" x14ac:dyDescent="0.2">
      <c r="F33" s="6" t="s">
        <v>8</v>
      </c>
      <c r="G33" s="9">
        <f>60+4+2</f>
        <v>66</v>
      </c>
      <c r="H33" s="16">
        <f t="shared" si="5"/>
        <v>5.83812472357364E-2</v>
      </c>
      <c r="I33" s="9">
        <v>126</v>
      </c>
      <c r="J33" s="17">
        <f t="shared" si="4"/>
        <v>8.4435688150858432E-2</v>
      </c>
    </row>
    <row r="34" spans="6:10" x14ac:dyDescent="0.2">
      <c r="F34" s="6" t="s">
        <v>9</v>
      </c>
      <c r="G34" s="9">
        <f>46+5+1</f>
        <v>52</v>
      </c>
      <c r="H34" s="16">
        <f t="shared" si="5"/>
        <v>4.5997346306943833E-2</v>
      </c>
      <c r="I34" s="9">
        <v>71</v>
      </c>
      <c r="J34" s="17">
        <f t="shared" si="4"/>
        <v>4.7578840148499592E-2</v>
      </c>
    </row>
    <row r="35" spans="6:10" x14ac:dyDescent="0.2">
      <c r="F35" s="6" t="s">
        <v>10</v>
      </c>
      <c r="G35" s="9">
        <f>50+6+1</f>
        <v>57</v>
      </c>
      <c r="H35" s="16">
        <f t="shared" si="5"/>
        <v>5.0420168067226892E-2</v>
      </c>
      <c r="I35" s="9">
        <v>68</v>
      </c>
      <c r="J35" s="17">
        <f t="shared" si="4"/>
        <v>4.5568466621098203E-2</v>
      </c>
    </row>
    <row r="36" spans="6:10" ht="13.5" thickBot="1" x14ac:dyDescent="0.25">
      <c r="F36" s="7" t="s">
        <v>11</v>
      </c>
      <c r="G36" s="18">
        <f>36+2+2</f>
        <v>40</v>
      </c>
      <c r="H36" s="19">
        <f t="shared" si="5"/>
        <v>3.5382574082264487E-2</v>
      </c>
      <c r="I36" s="18">
        <v>85</v>
      </c>
      <c r="J36" s="20">
        <f t="shared" si="4"/>
        <v>5.6960583276372753E-2</v>
      </c>
    </row>
    <row r="37" spans="6:10" ht="13.5" thickTop="1" x14ac:dyDescent="0.2">
      <c r="F37" s="12" t="s">
        <v>67</v>
      </c>
      <c r="H37" s="21">
        <f>SUM(H25:H36)</f>
        <v>0.75187969924812037</v>
      </c>
      <c r="J37" s="21">
        <f>SUM(J25:J36)</f>
        <v>0.75187969924812037</v>
      </c>
    </row>
    <row r="38" spans="6:10" x14ac:dyDescent="0.2">
      <c r="F38" s="1" t="s">
        <v>21</v>
      </c>
      <c r="G38" s="64">
        <f>1.33*(695+125+30)</f>
        <v>1130.5</v>
      </c>
      <c r="H38" s="21"/>
      <c r="I38" s="64">
        <f>1.33*1122</f>
        <v>1492.26</v>
      </c>
      <c r="J38" s="64"/>
    </row>
    <row r="39" spans="6:10" x14ac:dyDescent="0.2">
      <c r="F39" s="63" t="s">
        <v>66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120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11+26</f>
        <v>37</v>
      </c>
      <c r="H43" s="14">
        <f>G43/G56</f>
        <v>7.6604554865424432E-2</v>
      </c>
      <c r="I43" s="13">
        <f>2+1</f>
        <v>3</v>
      </c>
      <c r="J43" s="15">
        <f>I43/I56</f>
        <v>5.9171597633136093E-3</v>
      </c>
    </row>
    <row r="44" spans="6:10" x14ac:dyDescent="0.2">
      <c r="F44" s="6" t="s">
        <v>1</v>
      </c>
      <c r="G44" s="9">
        <f>16+63</f>
        <v>79</v>
      </c>
      <c r="H44" s="16">
        <f t="shared" ref="H44:H54" si="6">G44/$G$56</f>
        <v>0.16356107660455488</v>
      </c>
      <c r="I44" s="9">
        <f>5+5</f>
        <v>10</v>
      </c>
      <c r="J44" s="17">
        <f t="shared" ref="J44:J54" si="7">I44/$I$56</f>
        <v>1.9723865877712032E-2</v>
      </c>
    </row>
    <row r="45" spans="6:10" x14ac:dyDescent="0.2">
      <c r="F45" s="6" t="s">
        <v>2</v>
      </c>
      <c r="G45" s="9">
        <f>11+34</f>
        <v>45</v>
      </c>
      <c r="H45" s="16">
        <f t="shared" si="6"/>
        <v>9.3167701863354033E-2</v>
      </c>
      <c r="I45" s="9">
        <f>5+2</f>
        <v>7</v>
      </c>
      <c r="J45" s="17">
        <f t="shared" si="7"/>
        <v>1.3806706114398421E-2</v>
      </c>
    </row>
    <row r="46" spans="6:10" x14ac:dyDescent="0.2">
      <c r="F46" s="6" t="s">
        <v>3</v>
      </c>
      <c r="G46" s="9">
        <f>4+15</f>
        <v>19</v>
      </c>
      <c r="H46" s="16">
        <f t="shared" si="6"/>
        <v>3.9337474120082816E-2</v>
      </c>
      <c r="I46" s="9">
        <f>9+1</f>
        <v>10</v>
      </c>
      <c r="J46" s="17">
        <f t="shared" si="7"/>
        <v>1.9723865877712032E-2</v>
      </c>
    </row>
    <row r="47" spans="6:10" x14ac:dyDescent="0.2">
      <c r="F47" s="6" t="s">
        <v>4</v>
      </c>
      <c r="G47" s="9">
        <f>1+9</f>
        <v>10</v>
      </c>
      <c r="H47" s="16">
        <f t="shared" si="6"/>
        <v>2.0703933747412008E-2</v>
      </c>
      <c r="I47" s="9">
        <f>8+4</f>
        <v>12</v>
      </c>
      <c r="J47" s="17">
        <f t="shared" si="7"/>
        <v>2.3668639053254437E-2</v>
      </c>
    </row>
    <row r="48" spans="6:10" x14ac:dyDescent="0.2">
      <c r="F48" s="6" t="s">
        <v>5</v>
      </c>
      <c r="G48" s="9">
        <f>2+9</f>
        <v>11</v>
      </c>
      <c r="H48" s="16">
        <f t="shared" si="6"/>
        <v>2.2774327122153208E-2</v>
      </c>
      <c r="I48" s="9">
        <f>15+10</f>
        <v>25</v>
      </c>
      <c r="J48" s="17">
        <f t="shared" si="7"/>
        <v>4.9309664694280081E-2</v>
      </c>
    </row>
    <row r="49" spans="6:10" x14ac:dyDescent="0.2">
      <c r="F49" s="6" t="s">
        <v>6</v>
      </c>
      <c r="G49" s="9">
        <f>11+16</f>
        <v>27</v>
      </c>
      <c r="H49" s="16">
        <f t="shared" si="6"/>
        <v>5.5900621118012424E-2</v>
      </c>
      <c r="I49" s="9">
        <f>18+10</f>
        <v>28</v>
      </c>
      <c r="J49" s="17">
        <f t="shared" si="7"/>
        <v>5.5226824457593686E-2</v>
      </c>
    </row>
    <row r="50" spans="6:10" x14ac:dyDescent="0.2">
      <c r="F50" s="6" t="s">
        <v>7</v>
      </c>
      <c r="G50" s="9">
        <f>7+15</f>
        <v>22</v>
      </c>
      <c r="H50" s="16">
        <f t="shared" si="6"/>
        <v>4.5548654244306416E-2</v>
      </c>
      <c r="I50" s="9">
        <f>14+1</f>
        <v>15</v>
      </c>
      <c r="J50" s="17">
        <f t="shared" si="7"/>
        <v>2.9585798816568046E-2</v>
      </c>
    </row>
    <row r="51" spans="6:10" x14ac:dyDescent="0.2">
      <c r="F51" s="6" t="s">
        <v>8</v>
      </c>
      <c r="G51" s="9">
        <f>22+48</f>
        <v>70</v>
      </c>
      <c r="H51" s="16">
        <f t="shared" si="6"/>
        <v>0.14492753623188406</v>
      </c>
      <c r="I51" s="9">
        <f>58+14</f>
        <v>72</v>
      </c>
      <c r="J51" s="17">
        <f t="shared" si="7"/>
        <v>0.14201183431952663</v>
      </c>
    </row>
    <row r="52" spans="6:10" x14ac:dyDescent="0.2">
      <c r="F52" s="6" t="s">
        <v>9</v>
      </c>
      <c r="G52" s="9">
        <f>1+8</f>
        <v>9</v>
      </c>
      <c r="H52" s="16">
        <f t="shared" si="6"/>
        <v>1.8633540372670808E-2</v>
      </c>
      <c r="I52" s="9">
        <f>60+21</f>
        <v>81</v>
      </c>
      <c r="J52" s="17">
        <f t="shared" si="7"/>
        <v>0.15976331360946747</v>
      </c>
    </row>
    <row r="53" spans="6:10" x14ac:dyDescent="0.2">
      <c r="F53" s="6" t="s">
        <v>10</v>
      </c>
      <c r="G53" s="9">
        <f>0+4</f>
        <v>4</v>
      </c>
      <c r="H53" s="16">
        <f t="shared" si="6"/>
        <v>8.2815734989648039E-3</v>
      </c>
      <c r="I53" s="9">
        <f>46+10</f>
        <v>56</v>
      </c>
      <c r="J53" s="17">
        <f t="shared" si="7"/>
        <v>0.11045364891518737</v>
      </c>
    </row>
    <row r="54" spans="6:10" ht="13.5" thickBot="1" x14ac:dyDescent="0.25">
      <c r="F54" s="7" t="s">
        <v>11</v>
      </c>
      <c r="G54" s="18">
        <f>0+1</f>
        <v>1</v>
      </c>
      <c r="H54" s="19">
        <f t="shared" si="6"/>
        <v>2.070393374741201E-3</v>
      </c>
      <c r="I54" s="18">
        <f>26+5</f>
        <v>31</v>
      </c>
      <c r="J54" s="20">
        <f t="shared" si="7"/>
        <v>6.1143984220907298E-2</v>
      </c>
    </row>
    <row r="55" spans="6:10" ht="13.5" thickTop="1" x14ac:dyDescent="0.2">
      <c r="F55" s="12" t="s">
        <v>121</v>
      </c>
      <c r="H55" s="21">
        <f>SUM(H43:H54)</f>
        <v>0.6915113871635612</v>
      </c>
      <c r="J55" s="21">
        <f>SUM(J43:J54)</f>
        <v>0.69033530571992108</v>
      </c>
    </row>
    <row r="56" spans="6:10" x14ac:dyDescent="0.2">
      <c r="F56" s="1" t="s">
        <v>21</v>
      </c>
      <c r="G56" s="11">
        <f>124+359</f>
        <v>483</v>
      </c>
      <c r="H56" s="21"/>
      <c r="I56" s="11">
        <f>385+122</f>
        <v>507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253</v>
      </c>
      <c r="H62" s="14">
        <f>AVERAGE(H7,H25,H43)</f>
        <v>7.6401364044547462E-2</v>
      </c>
      <c r="I62" s="13">
        <f t="shared" ref="I62:I73" si="9">+I7+I25+I43</f>
        <v>80</v>
      </c>
      <c r="J62" s="15">
        <f>+AVERAGE(J7,J25, J43)</f>
        <v>1.8584103749341382E-2</v>
      </c>
    </row>
    <row r="63" spans="6:10" x14ac:dyDescent="0.2">
      <c r="F63" s="6" t="s">
        <v>27</v>
      </c>
      <c r="G63" s="9">
        <f t="shared" si="8"/>
        <v>338</v>
      </c>
      <c r="H63" s="22">
        <f>AVERAGE(H8,H26, H44)</f>
        <v>0.11671965850881087</v>
      </c>
      <c r="I63" s="9">
        <f t="shared" si="9"/>
        <v>111</v>
      </c>
      <c r="J63" s="17">
        <f>+AVERAGE(J8,J26, J44)</f>
        <v>2.8246727627006692E-2</v>
      </c>
    </row>
    <row r="64" spans="6:10" x14ac:dyDescent="0.2">
      <c r="F64" s="6" t="s">
        <v>28</v>
      </c>
      <c r="G64" s="9">
        <f t="shared" si="8"/>
        <v>184</v>
      </c>
      <c r="H64" s="22">
        <f t="shared" ref="H64:H72" si="10">AVERAGE(H9,H27, H45)</f>
        <v>6.5523394466420706E-2</v>
      </c>
      <c r="I64" s="9">
        <f t="shared" si="9"/>
        <v>91</v>
      </c>
      <c r="J64" s="17">
        <f t="shared" ref="J64:J72" si="11">+AVERAGE(J9,J27, J45)</f>
        <v>2.276450649347005E-2</v>
      </c>
    </row>
    <row r="65" spans="6:10" x14ac:dyDescent="0.2">
      <c r="F65" s="6" t="s">
        <v>29</v>
      </c>
      <c r="G65" s="9">
        <f t="shared" si="8"/>
        <v>116</v>
      </c>
      <c r="H65" s="22">
        <f t="shared" si="10"/>
        <v>3.9659032457253461E-2</v>
      </c>
      <c r="I65" s="9">
        <f t="shared" si="9"/>
        <v>95</v>
      </c>
      <c r="J65" s="17">
        <f t="shared" si="11"/>
        <v>2.5130176542372481E-2</v>
      </c>
    </row>
    <row r="66" spans="6:10" x14ac:dyDescent="0.2">
      <c r="F66" s="6" t="s">
        <v>30</v>
      </c>
      <c r="G66" s="9">
        <f t="shared" si="8"/>
        <v>133</v>
      </c>
      <c r="H66" s="22">
        <f t="shared" si="10"/>
        <v>4.0334831799406112E-2</v>
      </c>
      <c r="I66" s="9">
        <f t="shared" si="9"/>
        <v>147</v>
      </c>
      <c r="J66" s="17">
        <f t="shared" si="11"/>
        <v>3.7509283599422232E-2</v>
      </c>
    </row>
    <row r="67" spans="6:10" x14ac:dyDescent="0.2">
      <c r="F67" s="6" t="s">
        <v>37</v>
      </c>
      <c r="G67" s="9">
        <f t="shared" si="8"/>
        <v>175</v>
      </c>
      <c r="H67" s="22">
        <f t="shared" si="10"/>
        <v>5.1626359679966073E-2</v>
      </c>
      <c r="I67" s="9">
        <f t="shared" si="9"/>
        <v>273</v>
      </c>
      <c r="J67" s="17">
        <f t="shared" si="11"/>
        <v>7.0526524898641432E-2</v>
      </c>
    </row>
    <row r="68" spans="6:10" x14ac:dyDescent="0.2">
      <c r="F68" s="6" t="s">
        <v>31</v>
      </c>
      <c r="G68" s="9">
        <f t="shared" si="8"/>
        <v>267</v>
      </c>
      <c r="H68" s="22">
        <f t="shared" si="10"/>
        <v>8.1535398908954601E-2</v>
      </c>
      <c r="I68" s="9">
        <f t="shared" si="9"/>
        <v>326</v>
      </c>
      <c r="J68" s="17">
        <f t="shared" si="11"/>
        <v>8.3824492035850753E-2</v>
      </c>
    </row>
    <row r="69" spans="6:10" x14ac:dyDescent="0.2">
      <c r="F69" s="6" t="s">
        <v>32</v>
      </c>
      <c r="G69" s="9">
        <f t="shared" si="8"/>
        <v>221</v>
      </c>
      <c r="H69" s="22">
        <f t="shared" si="10"/>
        <v>6.762502742294231E-2</v>
      </c>
      <c r="I69" s="9">
        <f t="shared" si="9"/>
        <v>240</v>
      </c>
      <c r="J69" s="17">
        <f t="shared" si="11"/>
        <v>5.933707747118331E-2</v>
      </c>
    </row>
    <row r="70" spans="6:10" x14ac:dyDescent="0.2">
      <c r="F70" s="6" t="s">
        <v>33</v>
      </c>
      <c r="G70" s="9">
        <f t="shared" si="8"/>
        <v>216</v>
      </c>
      <c r="H70" s="22">
        <f t="shared" si="10"/>
        <v>8.5690741442611837E-2</v>
      </c>
      <c r="I70" s="9">
        <f t="shared" si="9"/>
        <v>465</v>
      </c>
      <c r="J70" s="17">
        <f t="shared" si="11"/>
        <v>0.13163392704848798</v>
      </c>
    </row>
    <row r="71" spans="6:10" x14ac:dyDescent="0.2">
      <c r="F71" s="6" t="s">
        <v>34</v>
      </c>
      <c r="G71" s="9">
        <f t="shared" si="8"/>
        <v>104</v>
      </c>
      <c r="H71" s="22">
        <f t="shared" si="10"/>
        <v>3.1176245380660078E-2</v>
      </c>
      <c r="I71" s="9">
        <f t="shared" si="9"/>
        <v>330</v>
      </c>
      <c r="J71" s="17">
        <f t="shared" si="11"/>
        <v>0.10654833095822876</v>
      </c>
    </row>
    <row r="72" spans="6:10" x14ac:dyDescent="0.2">
      <c r="F72" s="6" t="s">
        <v>35</v>
      </c>
      <c r="G72" s="9">
        <f t="shared" si="8"/>
        <v>119</v>
      </c>
      <c r="H72" s="22">
        <f t="shared" si="10"/>
        <v>3.2560078729949204E-2</v>
      </c>
      <c r="I72" s="9">
        <f t="shared" si="9"/>
        <v>250</v>
      </c>
      <c r="J72" s="17">
        <f t="shared" si="11"/>
        <v>7.8505794558362277E-2</v>
      </c>
    </row>
    <row r="73" spans="6:10" ht="13.5" thickBot="1" x14ac:dyDescent="0.25">
      <c r="F73" s="7" t="s">
        <v>36</v>
      </c>
      <c r="G73" s="18">
        <f t="shared" si="8"/>
        <v>85</v>
      </c>
      <c r="H73" s="19">
        <f>AVERAGE(H18,H36, H54)</f>
        <v>2.2340953310041323E-2</v>
      </c>
      <c r="I73" s="18">
        <f t="shared" si="9"/>
        <v>158</v>
      </c>
      <c r="J73" s="20">
        <f>+AVERAGE(J18,J36, J54)</f>
        <v>4.8200996736737937E-2</v>
      </c>
    </row>
    <row r="74" spans="6:10" ht="13.5" thickTop="1" x14ac:dyDescent="0.2">
      <c r="F74" s="12" t="s">
        <v>25</v>
      </c>
      <c r="H74" s="21">
        <f>SUM(H62:H73)</f>
        <v>0.71119308615156407</v>
      </c>
      <c r="J74" s="21">
        <f>SUM(J62:J73)</f>
        <v>0.71081194171910533</v>
      </c>
    </row>
    <row r="75" spans="6:10" x14ac:dyDescent="0.2">
      <c r="F75" s="1" t="s">
        <v>21</v>
      </c>
      <c r="G75" s="11">
        <f>+G20+G38+G56</f>
        <v>3101.5</v>
      </c>
      <c r="H75" s="21"/>
      <c r="I75" s="11">
        <f>+I20+I38+I56</f>
        <v>3584.26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237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0.10250000000000001</v>
      </c>
      <c r="D7" s="163">
        <v>2.0800000000000003E-2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7.3200000000000001E-2</v>
      </c>
      <c r="D8" s="166">
        <v>2.2800000000000001E-2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5.1200000000000002E-2</v>
      </c>
      <c r="D9" s="166">
        <v>2.7600000000000003E-2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0.1177</v>
      </c>
      <c r="D10" s="166">
        <v>2.5900000000000003E-2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9.4700000000000006E-2</v>
      </c>
      <c r="D11" s="166">
        <v>2.86E-2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3.78E-2</v>
      </c>
      <c r="D12" s="166">
        <v>3.7100000000000001E-2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5.0599999999999999E-2</v>
      </c>
      <c r="D13" s="166">
        <v>6.88E-2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5.9300000000000005E-2</v>
      </c>
      <c r="D14" s="166">
        <v>5.9200000000000003E-2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6.0000000000000005E-2</v>
      </c>
      <c r="D15" s="166">
        <v>4.3200000000000002E-2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5.33E-2</v>
      </c>
      <c r="D16" s="166">
        <v>9.9700000000000011E-2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3.1E-2</v>
      </c>
      <c r="D17" s="166">
        <v>6.3E-2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2.1899999999999999E-2</v>
      </c>
      <c r="D18" s="166">
        <v>7.7899999999999997E-2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2.6600000000000002E-2</v>
      </c>
      <c r="D19" s="166">
        <v>8.7800000000000003E-2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5.8300000000000005E-2</v>
      </c>
      <c r="D20" s="166">
        <v>9.3900000000000011E-2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5.3900000000000003E-2</v>
      </c>
      <c r="D21" s="166">
        <v>5.7500000000000002E-2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6.4000000000000003E-3</v>
      </c>
      <c r="D22" s="166">
        <v>1.5000000000000001E-2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0.10150000000000001</v>
      </c>
      <c r="D23" s="168">
        <v>0.17120000000000002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0.99990000000000012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238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D98C-2244-46E5-BF44-F67C7B183C08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240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1.5600000000000001E-2</v>
      </c>
      <c r="D7" s="163">
        <v>5.8400000000000001E-2</v>
      </c>
      <c r="E7" s="164">
        <v>3.8E-3</v>
      </c>
      <c r="F7" s="163">
        <v>1.54E-2</v>
      </c>
      <c r="G7" s="164">
        <v>1.7500000000000002E-2</v>
      </c>
      <c r="H7" s="165">
        <v>1.2E-2</v>
      </c>
    </row>
    <row r="8" spans="2:26" x14ac:dyDescent="0.2">
      <c r="B8" s="117" t="s">
        <v>27</v>
      </c>
      <c r="C8" s="149">
        <v>3.0700000000000002E-2</v>
      </c>
      <c r="D8" s="172">
        <v>9.9700000000000011E-2</v>
      </c>
      <c r="E8" s="120">
        <v>7.7000000000000002E-3</v>
      </c>
      <c r="F8" s="166">
        <v>3.27E-2</v>
      </c>
      <c r="G8" s="120">
        <v>5.8000000000000005E-3</v>
      </c>
      <c r="H8" s="167">
        <v>2.9900000000000003E-2</v>
      </c>
    </row>
    <row r="9" spans="2:26" x14ac:dyDescent="0.2">
      <c r="B9" s="117" t="s">
        <v>28</v>
      </c>
      <c r="C9" s="149">
        <v>3.7700000000000004E-2</v>
      </c>
      <c r="D9" s="166">
        <v>8.5199999999999998E-2</v>
      </c>
      <c r="E9" s="120">
        <v>2.5000000000000001E-2</v>
      </c>
      <c r="F9" s="166">
        <v>5.1900000000000002E-2</v>
      </c>
      <c r="G9" s="120">
        <v>5.8000000000000005E-3</v>
      </c>
      <c r="H9" s="167">
        <v>8.9800000000000005E-2</v>
      </c>
    </row>
    <row r="10" spans="2:26" x14ac:dyDescent="0.2">
      <c r="B10" s="117" t="s">
        <v>29</v>
      </c>
      <c r="C10" s="149">
        <v>3.3500000000000002E-2</v>
      </c>
      <c r="D10" s="166">
        <v>5.7700000000000001E-2</v>
      </c>
      <c r="E10" s="120">
        <v>0.05</v>
      </c>
      <c r="F10" s="166">
        <v>5.96E-2</v>
      </c>
      <c r="G10" s="120">
        <v>3.5099999999999999E-2</v>
      </c>
      <c r="H10" s="167">
        <v>5.9900000000000002E-2</v>
      </c>
    </row>
    <row r="11" spans="2:26" x14ac:dyDescent="0.2">
      <c r="B11" s="117" t="s">
        <v>30</v>
      </c>
      <c r="C11" s="149">
        <v>4.2100000000000005E-2</v>
      </c>
      <c r="D11" s="166">
        <v>5.57E-2</v>
      </c>
      <c r="E11" s="120">
        <v>6.1500000000000006E-2</v>
      </c>
      <c r="F11" s="166">
        <v>0.1019</v>
      </c>
      <c r="G11" s="120">
        <v>8.77E-2</v>
      </c>
      <c r="H11" s="167">
        <v>0.14369999999999999</v>
      </c>
    </row>
    <row r="12" spans="2:26" x14ac:dyDescent="0.2">
      <c r="B12" s="117" t="s">
        <v>37</v>
      </c>
      <c r="C12" s="149">
        <v>5.4200000000000005E-2</v>
      </c>
      <c r="D12" s="166">
        <v>5.1000000000000004E-2</v>
      </c>
      <c r="E12" s="120">
        <v>8.6500000000000007E-2</v>
      </c>
      <c r="F12" s="166">
        <v>5.7700000000000001E-2</v>
      </c>
      <c r="G12" s="120">
        <v>8.1900000000000001E-2</v>
      </c>
      <c r="H12" s="167">
        <v>7.1900000000000006E-2</v>
      </c>
    </row>
    <row r="13" spans="2:26" x14ac:dyDescent="0.2">
      <c r="B13" s="117" t="s">
        <v>31</v>
      </c>
      <c r="C13" s="149">
        <v>5.74E-2</v>
      </c>
      <c r="D13" s="166">
        <v>5.6800000000000003E-2</v>
      </c>
      <c r="E13" s="120">
        <v>7.3099999999999998E-2</v>
      </c>
      <c r="F13" s="166">
        <v>8.0800000000000011E-2</v>
      </c>
      <c r="G13" s="120">
        <v>0.1053</v>
      </c>
      <c r="H13" s="167">
        <v>7.7800000000000008E-2</v>
      </c>
    </row>
    <row r="14" spans="2:26" x14ac:dyDescent="0.2">
      <c r="B14" s="117" t="s">
        <v>32</v>
      </c>
      <c r="C14" s="149">
        <v>6.1200000000000004E-2</v>
      </c>
      <c r="D14" s="166">
        <v>6.0100000000000001E-2</v>
      </c>
      <c r="E14" s="120">
        <v>7.1199999999999999E-2</v>
      </c>
      <c r="F14" s="166">
        <v>9.0400000000000008E-2</v>
      </c>
      <c r="G14" s="120">
        <v>0.1053</v>
      </c>
      <c r="H14" s="167">
        <v>8.9800000000000005E-2</v>
      </c>
    </row>
    <row r="15" spans="2:26" x14ac:dyDescent="0.2">
      <c r="B15" s="117" t="s">
        <v>33</v>
      </c>
      <c r="C15" s="149">
        <v>7.1199999999999999E-2</v>
      </c>
      <c r="D15" s="166">
        <v>6.1200000000000004E-2</v>
      </c>
      <c r="E15" s="120">
        <v>8.6500000000000007E-2</v>
      </c>
      <c r="F15" s="166">
        <v>7.3099999999999998E-2</v>
      </c>
      <c r="G15" s="120">
        <v>5.8500000000000003E-2</v>
      </c>
      <c r="H15" s="167">
        <v>5.9900000000000002E-2</v>
      </c>
    </row>
    <row r="16" spans="2:26" x14ac:dyDescent="0.2">
      <c r="B16" s="117" t="s">
        <v>34</v>
      </c>
      <c r="C16" s="149">
        <v>8.7000000000000008E-2</v>
      </c>
      <c r="D16" s="166">
        <v>6.2400000000000004E-2</v>
      </c>
      <c r="E16" s="120">
        <v>9.8100000000000007E-2</v>
      </c>
      <c r="F16" s="166">
        <v>8.6500000000000007E-2</v>
      </c>
      <c r="G16" s="120">
        <v>5.8500000000000003E-2</v>
      </c>
      <c r="H16" s="167">
        <v>2.9900000000000003E-2</v>
      </c>
    </row>
    <row r="17" spans="2:8" x14ac:dyDescent="0.2">
      <c r="B17" s="117" t="s">
        <v>35</v>
      </c>
      <c r="C17" s="149">
        <v>0.1052</v>
      </c>
      <c r="D17" s="166">
        <v>7.3900000000000007E-2</v>
      </c>
      <c r="E17" s="120">
        <v>6.9199999999999998E-2</v>
      </c>
      <c r="F17" s="166">
        <v>5.3800000000000001E-2</v>
      </c>
      <c r="G17" s="120">
        <v>8.1900000000000001E-2</v>
      </c>
      <c r="H17" s="167">
        <v>8.3799999999999999E-2</v>
      </c>
    </row>
    <row r="18" spans="2:8" x14ac:dyDescent="0.2">
      <c r="B18" s="117" t="s">
        <v>36</v>
      </c>
      <c r="C18" s="149">
        <v>0.10020000000000001</v>
      </c>
      <c r="D18" s="166">
        <v>7.3099999999999998E-2</v>
      </c>
      <c r="E18" s="120">
        <v>9.6200000000000008E-2</v>
      </c>
      <c r="F18" s="166">
        <v>7.1199999999999999E-2</v>
      </c>
      <c r="G18" s="120">
        <v>0.1111</v>
      </c>
      <c r="H18" s="167">
        <v>8.3799999999999999E-2</v>
      </c>
    </row>
    <row r="19" spans="2:8" x14ac:dyDescent="0.2">
      <c r="B19" s="159" t="s">
        <v>141</v>
      </c>
      <c r="C19" s="149">
        <v>8.5300000000000001E-2</v>
      </c>
      <c r="D19" s="166">
        <v>5.8600000000000006E-2</v>
      </c>
      <c r="E19" s="120">
        <v>7.3099999999999998E-2</v>
      </c>
      <c r="F19" s="166">
        <v>4.6200000000000005E-2</v>
      </c>
      <c r="G19" s="120">
        <v>5.8500000000000003E-2</v>
      </c>
      <c r="H19" s="167">
        <v>6.59E-2</v>
      </c>
    </row>
    <row r="20" spans="2:8" x14ac:dyDescent="0.2">
      <c r="B20" s="157" t="s">
        <v>142</v>
      </c>
      <c r="C20" s="149">
        <v>6.0600000000000001E-2</v>
      </c>
      <c r="D20" s="166">
        <v>4.24E-2</v>
      </c>
      <c r="E20" s="120">
        <v>4.8100000000000004E-2</v>
      </c>
      <c r="F20" s="166">
        <v>5.3800000000000001E-2</v>
      </c>
      <c r="G20" s="120">
        <v>7.0199999999999999E-2</v>
      </c>
      <c r="H20" s="167">
        <v>3.5900000000000001E-2</v>
      </c>
    </row>
    <row r="21" spans="2:8" x14ac:dyDescent="0.2">
      <c r="B21" s="157" t="s">
        <v>160</v>
      </c>
      <c r="C21" s="149">
        <v>6.13E-2</v>
      </c>
      <c r="D21" s="166">
        <v>3.0800000000000001E-2</v>
      </c>
      <c r="E21" s="120">
        <v>5.96E-2</v>
      </c>
      <c r="F21" s="166">
        <v>3.6500000000000005E-2</v>
      </c>
      <c r="G21" s="120">
        <v>5.8500000000000003E-2</v>
      </c>
      <c r="H21" s="167">
        <v>2.4E-2</v>
      </c>
    </row>
    <row r="22" spans="2:8" x14ac:dyDescent="0.2">
      <c r="B22" s="157" t="s">
        <v>161</v>
      </c>
      <c r="C22" s="149">
        <v>4.4200000000000003E-2</v>
      </c>
      <c r="D22" s="166">
        <v>2.3E-2</v>
      </c>
      <c r="E22" s="120">
        <v>2.69E-2</v>
      </c>
      <c r="F22" s="172">
        <v>2.12E-2</v>
      </c>
      <c r="G22" s="120">
        <v>5.8000000000000005E-3</v>
      </c>
      <c r="H22" s="167">
        <v>0</v>
      </c>
    </row>
    <row r="23" spans="2:8" ht="13.5" thickBot="1" x14ac:dyDescent="0.25">
      <c r="B23" s="160" t="s">
        <v>186</v>
      </c>
      <c r="C23" s="150">
        <v>5.2900000000000003E-2</v>
      </c>
      <c r="D23" s="168">
        <v>4.9800000000000004E-2</v>
      </c>
      <c r="E23" s="169">
        <v>6.3500000000000001E-2</v>
      </c>
      <c r="F23" s="168">
        <v>6.7299999999999999E-2</v>
      </c>
      <c r="G23" s="169">
        <v>5.2600000000000001E-2</v>
      </c>
      <c r="H23" s="170">
        <v>4.19E-2</v>
      </c>
    </row>
    <row r="24" spans="2:8" ht="13.5" thickBot="1" x14ac:dyDescent="0.25">
      <c r="B24" s="142"/>
      <c r="C24" s="143">
        <f>SUM(C7:C23)</f>
        <v>1.0003</v>
      </c>
      <c r="D24" s="161">
        <f t="shared" ref="D24:H24" si="0">SUM(D7:D23)</f>
        <v>0.99980000000000013</v>
      </c>
      <c r="E24" s="143">
        <f t="shared" si="0"/>
        <v>1</v>
      </c>
      <c r="F24" s="161">
        <f t="shared" si="0"/>
        <v>1</v>
      </c>
      <c r="G24" s="143">
        <f t="shared" si="0"/>
        <v>1</v>
      </c>
      <c r="H24" s="144">
        <f t="shared" si="0"/>
        <v>0.99990000000000012</v>
      </c>
    </row>
    <row r="25" spans="2:8" ht="13.5" thickTop="1" x14ac:dyDescent="0.2"/>
    <row r="27" spans="2:8" x14ac:dyDescent="0.2">
      <c r="B27" s="66" t="s">
        <v>207</v>
      </c>
    </row>
    <row r="28" spans="2:8" x14ac:dyDescent="0.2">
      <c r="B28" s="154" t="s">
        <v>206</v>
      </c>
    </row>
    <row r="29" spans="2:8" x14ac:dyDescent="0.2">
      <c r="B29" s="154" t="s">
        <v>199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1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2.710937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18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1.9E-2</v>
      </c>
      <c r="D7" s="116">
        <v>7.6999999999999999E-2</v>
      </c>
      <c r="F7" s="8" t="s">
        <v>12</v>
      </c>
      <c r="G7" s="13">
        <v>6</v>
      </c>
      <c r="H7" s="14">
        <f t="shared" ref="H7:H18" si="0">G7/$G$20</f>
        <v>1.8292682926829267E-2</v>
      </c>
      <c r="I7" s="13">
        <v>39</v>
      </c>
      <c r="J7" s="15">
        <f t="shared" ref="J7:J18" si="1">I7/395</f>
        <v>9.8734177215189872E-2</v>
      </c>
      <c r="L7" s="11">
        <f t="shared" ref="L7:L18" si="2">+G7+I7</f>
        <v>45</v>
      </c>
      <c r="M7" s="56">
        <f t="shared" ref="M7:M18" si="3">+L7/($G$20+$I$20)</f>
        <v>6.2240663900414939E-2</v>
      </c>
    </row>
    <row r="8" spans="2:26" x14ac:dyDescent="0.2">
      <c r="B8" s="117" t="s">
        <v>27</v>
      </c>
      <c r="C8" s="118">
        <v>1.4999999999999999E-2</v>
      </c>
      <c r="D8" s="119">
        <v>0.122</v>
      </c>
      <c r="F8" s="6" t="s">
        <v>1</v>
      </c>
      <c r="G8" s="9">
        <v>6</v>
      </c>
      <c r="H8" s="16">
        <f t="shared" si="0"/>
        <v>1.8292682926829267E-2</v>
      </c>
      <c r="I8" s="9">
        <v>66</v>
      </c>
      <c r="J8" s="17">
        <f t="shared" si="1"/>
        <v>0.16708860759493671</v>
      </c>
      <c r="L8" s="11">
        <f t="shared" si="2"/>
        <v>72</v>
      </c>
      <c r="M8" s="56">
        <f t="shared" si="3"/>
        <v>9.9585062240663894E-2</v>
      </c>
    </row>
    <row r="9" spans="2:26" x14ac:dyDescent="0.2">
      <c r="B9" s="117" t="s">
        <v>28</v>
      </c>
      <c r="C9" s="120">
        <v>2.9000000000000001E-2</v>
      </c>
      <c r="D9" s="119">
        <v>7.6999999999999999E-2</v>
      </c>
      <c r="F9" s="6" t="s">
        <v>2</v>
      </c>
      <c r="G9" s="9">
        <v>10</v>
      </c>
      <c r="H9" s="16">
        <f t="shared" si="0"/>
        <v>3.048780487804878E-2</v>
      </c>
      <c r="I9" s="9">
        <v>38</v>
      </c>
      <c r="J9" s="17">
        <f t="shared" si="1"/>
        <v>9.6202531645569619E-2</v>
      </c>
      <c r="L9" s="11">
        <f t="shared" si="2"/>
        <v>48</v>
      </c>
      <c r="M9" s="56">
        <f t="shared" si="3"/>
        <v>6.6390041493775934E-2</v>
      </c>
    </row>
    <row r="10" spans="2:26" x14ac:dyDescent="0.2">
      <c r="B10" s="117" t="s">
        <v>29</v>
      </c>
      <c r="C10" s="120">
        <v>3.6999999999999998E-2</v>
      </c>
      <c r="D10" s="119">
        <v>5.0999999999999997E-2</v>
      </c>
      <c r="F10" s="6" t="s">
        <v>3</v>
      </c>
      <c r="G10" s="9">
        <v>9</v>
      </c>
      <c r="H10" s="16">
        <f t="shared" si="0"/>
        <v>2.7439024390243903E-2</v>
      </c>
      <c r="I10" s="9">
        <v>19</v>
      </c>
      <c r="J10" s="17">
        <f t="shared" si="1"/>
        <v>4.810126582278481E-2</v>
      </c>
      <c r="L10" s="11">
        <f t="shared" si="2"/>
        <v>28</v>
      </c>
      <c r="M10" s="56">
        <f t="shared" si="3"/>
        <v>3.8727524204702629E-2</v>
      </c>
    </row>
    <row r="11" spans="2:26" x14ac:dyDescent="0.2">
      <c r="B11" s="117" t="s">
        <v>30</v>
      </c>
      <c r="C11" s="120">
        <v>4.2999999999999997E-2</v>
      </c>
      <c r="D11" s="119">
        <v>5.8000000000000003E-2</v>
      </c>
      <c r="F11" s="6" t="s">
        <v>4</v>
      </c>
      <c r="G11" s="9">
        <v>17</v>
      </c>
      <c r="H11" s="16">
        <f t="shared" si="0"/>
        <v>5.1829268292682924E-2</v>
      </c>
      <c r="I11" s="9">
        <v>16</v>
      </c>
      <c r="J11" s="17">
        <f t="shared" si="1"/>
        <v>4.0506329113924051E-2</v>
      </c>
      <c r="L11" s="11">
        <f t="shared" si="2"/>
        <v>33</v>
      </c>
      <c r="M11" s="56">
        <f t="shared" si="3"/>
        <v>4.5643153526970952E-2</v>
      </c>
    </row>
    <row r="12" spans="2:26" x14ac:dyDescent="0.2">
      <c r="B12" s="117" t="s">
        <v>37</v>
      </c>
      <c r="C12" s="120">
        <v>7.0000000000000007E-2</v>
      </c>
      <c r="D12" s="119">
        <v>5.1999999999999998E-2</v>
      </c>
      <c r="F12" s="6" t="s">
        <v>5</v>
      </c>
      <c r="G12" s="9">
        <v>18</v>
      </c>
      <c r="H12" s="16">
        <f t="shared" si="0"/>
        <v>5.4878048780487805E-2</v>
      </c>
      <c r="I12" s="9">
        <v>15</v>
      </c>
      <c r="J12" s="17">
        <f t="shared" si="1"/>
        <v>3.7974683544303799E-2</v>
      </c>
      <c r="L12" s="11">
        <f t="shared" si="2"/>
        <v>33</v>
      </c>
      <c r="M12" s="56">
        <f t="shared" si="3"/>
        <v>4.5643153526970952E-2</v>
      </c>
    </row>
    <row r="13" spans="2:26" x14ac:dyDescent="0.2">
      <c r="B13" s="117" t="s">
        <v>31</v>
      </c>
      <c r="C13" s="120">
        <v>7.0999999999999994E-2</v>
      </c>
      <c r="D13" s="119">
        <v>6.0999999999999999E-2</v>
      </c>
      <c r="F13" s="6" t="s">
        <v>6</v>
      </c>
      <c r="G13" s="9">
        <v>17</v>
      </c>
      <c r="H13" s="16">
        <f t="shared" si="0"/>
        <v>5.1829268292682924E-2</v>
      </c>
      <c r="I13" s="9">
        <v>11</v>
      </c>
      <c r="J13" s="17">
        <f t="shared" si="1"/>
        <v>2.7848101265822784E-2</v>
      </c>
      <c r="L13" s="11">
        <f t="shared" si="2"/>
        <v>28</v>
      </c>
      <c r="M13" s="56">
        <f t="shared" si="3"/>
        <v>3.8727524204702629E-2</v>
      </c>
    </row>
    <row r="14" spans="2:26" x14ac:dyDescent="0.2">
      <c r="B14" s="117" t="s">
        <v>32</v>
      </c>
      <c r="C14" s="120">
        <v>5.8999999999999997E-2</v>
      </c>
      <c r="D14" s="119">
        <v>4.7E-2</v>
      </c>
      <c r="F14" s="6" t="s">
        <v>7</v>
      </c>
      <c r="G14" s="9">
        <v>14</v>
      </c>
      <c r="H14" s="16">
        <f t="shared" si="0"/>
        <v>4.2682926829268296E-2</v>
      </c>
      <c r="I14" s="9">
        <v>14</v>
      </c>
      <c r="J14" s="17">
        <f t="shared" si="1"/>
        <v>3.5443037974683546E-2</v>
      </c>
      <c r="L14" s="11">
        <f t="shared" si="2"/>
        <v>28</v>
      </c>
      <c r="M14" s="56">
        <f t="shared" si="3"/>
        <v>3.8727524204702629E-2</v>
      </c>
    </row>
    <row r="15" spans="2:26" x14ac:dyDescent="0.2">
      <c r="B15" s="117" t="s">
        <v>33</v>
      </c>
      <c r="C15" s="120">
        <v>0.08</v>
      </c>
      <c r="D15" s="119">
        <v>6.9000000000000006E-2</v>
      </c>
      <c r="F15" s="6" t="s">
        <v>8</v>
      </c>
      <c r="G15" s="9">
        <v>22</v>
      </c>
      <c r="H15" s="16">
        <f t="shared" si="0"/>
        <v>6.7073170731707321E-2</v>
      </c>
      <c r="I15" s="9">
        <v>26</v>
      </c>
      <c r="J15" s="17">
        <f t="shared" si="1"/>
        <v>6.5822784810126586E-2</v>
      </c>
      <c r="L15" s="11">
        <f t="shared" si="2"/>
        <v>48</v>
      </c>
      <c r="M15" s="56">
        <f t="shared" si="3"/>
        <v>6.6390041493775934E-2</v>
      </c>
    </row>
    <row r="16" spans="2:26" x14ac:dyDescent="0.2">
      <c r="B16" s="117" t="s">
        <v>34</v>
      </c>
      <c r="C16" s="120">
        <v>0.10199999999999999</v>
      </c>
      <c r="D16" s="119">
        <v>5.8000000000000003E-2</v>
      </c>
      <c r="F16" s="6" t="s">
        <v>9</v>
      </c>
      <c r="G16" s="9">
        <v>35</v>
      </c>
      <c r="H16" s="16">
        <f t="shared" si="0"/>
        <v>0.10670731707317073</v>
      </c>
      <c r="I16" s="9">
        <v>23</v>
      </c>
      <c r="J16" s="17">
        <f t="shared" si="1"/>
        <v>5.8227848101265821E-2</v>
      </c>
      <c r="L16" s="11">
        <f t="shared" si="2"/>
        <v>58</v>
      </c>
      <c r="M16" s="56">
        <f t="shared" si="3"/>
        <v>8.0221300138312593E-2</v>
      </c>
    </row>
    <row r="17" spans="2:13" x14ac:dyDescent="0.2">
      <c r="B17" s="117" t="s">
        <v>35</v>
      </c>
      <c r="C17" s="120">
        <v>0.13800000000000001</v>
      </c>
      <c r="D17" s="119">
        <v>6.7000000000000004E-2</v>
      </c>
      <c r="F17" s="6" t="s">
        <v>10</v>
      </c>
      <c r="G17" s="9">
        <v>50</v>
      </c>
      <c r="H17" s="16">
        <f t="shared" si="0"/>
        <v>0.1524390243902439</v>
      </c>
      <c r="I17" s="9">
        <v>23</v>
      </c>
      <c r="J17" s="17">
        <f t="shared" si="1"/>
        <v>5.8227848101265821E-2</v>
      </c>
      <c r="L17" s="11">
        <f t="shared" si="2"/>
        <v>73</v>
      </c>
      <c r="M17" s="56">
        <f t="shared" si="3"/>
        <v>0.10096818810511757</v>
      </c>
    </row>
    <row r="18" spans="2:13" ht="13.5" thickBot="1" x14ac:dyDescent="0.25">
      <c r="B18" s="121" t="s">
        <v>36</v>
      </c>
      <c r="C18" s="122">
        <v>0.13600000000000001</v>
      </c>
      <c r="D18" s="123">
        <v>6.8000000000000005E-2</v>
      </c>
      <c r="F18" s="7" t="s">
        <v>11</v>
      </c>
      <c r="G18" s="18">
        <v>46</v>
      </c>
      <c r="H18" s="19">
        <f t="shared" si="0"/>
        <v>0.1402439024390244</v>
      </c>
      <c r="I18" s="18">
        <v>20</v>
      </c>
      <c r="J18" s="20">
        <f t="shared" si="1"/>
        <v>5.0632911392405063E-2</v>
      </c>
      <c r="L18" s="11">
        <f t="shared" si="2"/>
        <v>66</v>
      </c>
      <c r="M18" s="56">
        <f t="shared" si="3"/>
        <v>9.1286307053941904E-2</v>
      </c>
    </row>
    <row r="19" spans="2:13" ht="14.25" thickTop="1" thickBot="1" x14ac:dyDescent="0.25">
      <c r="B19" s="124"/>
      <c r="C19" s="125">
        <f>SUM(C7:C18)</f>
        <v>0.79900000000000004</v>
      </c>
      <c r="D19" s="126">
        <f>SUM(D7:D18)</f>
        <v>0.80700000000000016</v>
      </c>
      <c r="F19" s="1" t="s">
        <v>49</v>
      </c>
      <c r="H19" s="21">
        <f>SUM(H7:H18)</f>
        <v>0.76219512195121952</v>
      </c>
      <c r="J19" s="21">
        <f>SUM(J7:J18)</f>
        <v>0.78481012658227844</v>
      </c>
    </row>
    <row r="20" spans="2:13" ht="13.5" thickTop="1" x14ac:dyDescent="0.2">
      <c r="F20" s="1" t="s">
        <v>21</v>
      </c>
      <c r="G20" s="11">
        <v>328</v>
      </c>
      <c r="H20" s="21"/>
      <c r="I20" s="11">
        <v>395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167</v>
      </c>
      <c r="F22" s="1"/>
    </row>
    <row r="23" spans="2:13" ht="13.5" thickTop="1" x14ac:dyDescent="0.2">
      <c r="F23" s="2"/>
      <c r="G23" s="243" t="s">
        <v>17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v>1</v>
      </c>
      <c r="H25" s="14">
        <f>G25/G38</f>
        <v>1.098901098901099E-2</v>
      </c>
      <c r="I25" s="13">
        <v>6</v>
      </c>
      <c r="J25" s="15">
        <f>I25/I38</f>
        <v>6.741573033707865E-2</v>
      </c>
    </row>
    <row r="26" spans="2:13" x14ac:dyDescent="0.2">
      <c r="F26" s="6" t="s">
        <v>1</v>
      </c>
      <c r="G26" s="9">
        <v>1</v>
      </c>
      <c r="H26" s="16">
        <f t="shared" ref="H26:H36" si="4">G26/$G$38</f>
        <v>1.098901098901099E-2</v>
      </c>
      <c r="I26" s="9">
        <v>12</v>
      </c>
      <c r="J26" s="17">
        <f t="shared" ref="J26:J36" si="5">I26/$I$38</f>
        <v>0.1348314606741573</v>
      </c>
    </row>
    <row r="27" spans="2:13" x14ac:dyDescent="0.2">
      <c r="F27" s="6" t="s">
        <v>2</v>
      </c>
      <c r="G27" s="9">
        <v>3</v>
      </c>
      <c r="H27" s="16">
        <f t="shared" si="4"/>
        <v>3.2967032967032968E-2</v>
      </c>
      <c r="I27" s="9">
        <v>3</v>
      </c>
      <c r="J27" s="17">
        <f t="shared" si="5"/>
        <v>3.3707865168539325E-2</v>
      </c>
    </row>
    <row r="28" spans="2:13" x14ac:dyDescent="0.2">
      <c r="F28" s="6" t="s">
        <v>3</v>
      </c>
      <c r="G28" s="9">
        <v>3</v>
      </c>
      <c r="H28" s="16">
        <f t="shared" si="4"/>
        <v>3.2967032967032968E-2</v>
      </c>
      <c r="I28" s="9">
        <v>3</v>
      </c>
      <c r="J28" s="17">
        <f t="shared" si="5"/>
        <v>3.3707865168539325E-2</v>
      </c>
    </row>
    <row r="29" spans="2:13" x14ac:dyDescent="0.2">
      <c r="F29" s="6" t="s">
        <v>4</v>
      </c>
      <c r="G29" s="9">
        <v>4</v>
      </c>
      <c r="H29" s="16">
        <f t="shared" si="4"/>
        <v>4.3956043956043959E-2</v>
      </c>
      <c r="I29" s="9">
        <v>6</v>
      </c>
      <c r="J29" s="17">
        <f t="shared" si="5"/>
        <v>6.741573033707865E-2</v>
      </c>
    </row>
    <row r="30" spans="2:13" x14ac:dyDescent="0.2">
      <c r="F30" s="6" t="s">
        <v>5</v>
      </c>
      <c r="G30" s="9">
        <v>8</v>
      </c>
      <c r="H30" s="16">
        <f t="shared" si="4"/>
        <v>8.7912087912087919E-2</v>
      </c>
      <c r="I30" s="9">
        <v>3</v>
      </c>
      <c r="J30" s="17">
        <f t="shared" si="5"/>
        <v>3.3707865168539325E-2</v>
      </c>
    </row>
    <row r="31" spans="2:13" x14ac:dyDescent="0.2">
      <c r="F31" s="6" t="s">
        <v>6</v>
      </c>
      <c r="G31" s="9">
        <v>6</v>
      </c>
      <c r="H31" s="16">
        <f t="shared" si="4"/>
        <v>6.5934065934065936E-2</v>
      </c>
      <c r="I31" s="9">
        <v>9</v>
      </c>
      <c r="J31" s="17">
        <f t="shared" si="5"/>
        <v>0.10112359550561797</v>
      </c>
    </row>
    <row r="32" spans="2:13" x14ac:dyDescent="0.2">
      <c r="F32" s="6" t="s">
        <v>7</v>
      </c>
      <c r="G32" s="9">
        <v>4</v>
      </c>
      <c r="H32" s="16">
        <f t="shared" si="4"/>
        <v>4.3956043956043959E-2</v>
      </c>
      <c r="I32" s="9">
        <v>3</v>
      </c>
      <c r="J32" s="17">
        <f t="shared" si="5"/>
        <v>3.3707865168539325E-2</v>
      </c>
    </row>
    <row r="33" spans="6:10" x14ac:dyDescent="0.2">
      <c r="F33" s="6" t="s">
        <v>8</v>
      </c>
      <c r="G33" s="9">
        <v>7</v>
      </c>
      <c r="H33" s="16">
        <f t="shared" si="4"/>
        <v>7.6923076923076927E-2</v>
      </c>
      <c r="I33" s="9">
        <v>9</v>
      </c>
      <c r="J33" s="17">
        <f t="shared" si="5"/>
        <v>0.10112359550561797</v>
      </c>
    </row>
    <row r="34" spans="6:10" x14ac:dyDescent="0.2">
      <c r="F34" s="6" t="s">
        <v>9</v>
      </c>
      <c r="G34" s="9">
        <v>6</v>
      </c>
      <c r="H34" s="16">
        <f t="shared" si="4"/>
        <v>6.5934065934065936E-2</v>
      </c>
      <c r="I34" s="9">
        <v>4</v>
      </c>
      <c r="J34" s="17">
        <f t="shared" si="5"/>
        <v>4.49438202247191E-2</v>
      </c>
    </row>
    <row r="35" spans="6:10" x14ac:dyDescent="0.2">
      <c r="F35" s="6" t="s">
        <v>10</v>
      </c>
      <c r="G35" s="9">
        <v>15</v>
      </c>
      <c r="H35" s="16">
        <f t="shared" si="4"/>
        <v>0.16483516483516483</v>
      </c>
      <c r="I35" s="9">
        <v>7</v>
      </c>
      <c r="J35" s="17">
        <f t="shared" si="5"/>
        <v>7.8651685393258425E-2</v>
      </c>
    </row>
    <row r="36" spans="6:10" ht="13.5" thickBot="1" x14ac:dyDescent="0.25">
      <c r="F36" s="7" t="s">
        <v>11</v>
      </c>
      <c r="G36" s="18">
        <v>14</v>
      </c>
      <c r="H36" s="19">
        <f t="shared" si="4"/>
        <v>0.15384615384615385</v>
      </c>
      <c r="I36" s="18">
        <v>6</v>
      </c>
      <c r="J36" s="20">
        <f t="shared" si="5"/>
        <v>6.741573033707865E-2</v>
      </c>
    </row>
    <row r="37" spans="6:10" ht="13.5" thickTop="1" x14ac:dyDescent="0.2">
      <c r="F37" s="12" t="s">
        <v>50</v>
      </c>
      <c r="H37" s="21">
        <f>SUM(H25:H36)</f>
        <v>0.79120879120879117</v>
      </c>
      <c r="J37" s="21">
        <f>SUM(J25:J36)</f>
        <v>0.797752808988764</v>
      </c>
    </row>
    <row r="38" spans="6:10" x14ac:dyDescent="0.2">
      <c r="F38" s="1" t="s">
        <v>21</v>
      </c>
      <c r="G38" s="11">
        <v>91</v>
      </c>
      <c r="H38" s="21"/>
      <c r="I38" s="11">
        <v>89</v>
      </c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19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v>20</v>
      </c>
      <c r="H43" s="14">
        <f>G43/G56</f>
        <v>2.4096385542168676E-2</v>
      </c>
      <c r="I43" s="13">
        <v>38</v>
      </c>
      <c r="J43" s="15">
        <f>I43/I56</f>
        <v>4.0860215053763443E-2</v>
      </c>
    </row>
    <row r="44" spans="6:10" x14ac:dyDescent="0.2">
      <c r="F44" s="6" t="s">
        <v>1</v>
      </c>
      <c r="G44" s="9">
        <v>12</v>
      </c>
      <c r="H44" s="16">
        <f t="shared" ref="H44:H54" si="6">G44/$G$56</f>
        <v>1.4457831325301205E-2</v>
      </c>
      <c r="I44" s="9">
        <v>94</v>
      </c>
      <c r="J44" s="17">
        <f t="shared" ref="J44:J54" si="7">I44/$I$56</f>
        <v>0.1010752688172043</v>
      </c>
    </row>
    <row r="45" spans="6:10" x14ac:dyDescent="0.2">
      <c r="F45" s="6" t="s">
        <v>2</v>
      </c>
      <c r="G45" s="9">
        <v>33</v>
      </c>
      <c r="H45" s="16">
        <f t="shared" si="6"/>
        <v>3.9759036144578312E-2</v>
      </c>
      <c r="I45" s="9">
        <v>107</v>
      </c>
      <c r="J45" s="17">
        <f t="shared" si="7"/>
        <v>0.11505376344086021</v>
      </c>
    </row>
    <row r="46" spans="6:10" x14ac:dyDescent="0.2">
      <c r="F46" s="6" t="s">
        <v>3</v>
      </c>
      <c r="G46" s="9">
        <v>50</v>
      </c>
      <c r="H46" s="16">
        <f t="shared" si="6"/>
        <v>6.0240963855421686E-2</v>
      </c>
      <c r="I46" s="9">
        <v>63</v>
      </c>
      <c r="J46" s="17">
        <f t="shared" si="7"/>
        <v>6.7741935483870974E-2</v>
      </c>
    </row>
    <row r="47" spans="6:10" x14ac:dyDescent="0.2">
      <c r="F47" s="6" t="s">
        <v>4</v>
      </c>
      <c r="G47" s="9">
        <v>38</v>
      </c>
      <c r="H47" s="16">
        <f t="shared" si="6"/>
        <v>4.5783132530120479E-2</v>
      </c>
      <c r="I47" s="9">
        <v>68</v>
      </c>
      <c r="J47" s="17">
        <f t="shared" si="7"/>
        <v>7.3118279569892475E-2</v>
      </c>
    </row>
    <row r="48" spans="6:10" x14ac:dyDescent="0.2">
      <c r="F48" s="6" t="s">
        <v>5</v>
      </c>
      <c r="G48" s="9">
        <v>74</v>
      </c>
      <c r="H48" s="16">
        <f t="shared" si="6"/>
        <v>8.91566265060241E-2</v>
      </c>
      <c r="I48" s="9">
        <v>66</v>
      </c>
      <c r="J48" s="17">
        <f t="shared" si="7"/>
        <v>7.0967741935483872E-2</v>
      </c>
    </row>
    <row r="49" spans="6:10" x14ac:dyDescent="0.2">
      <c r="F49" s="6" t="s">
        <v>6</v>
      </c>
      <c r="G49" s="9">
        <v>70</v>
      </c>
      <c r="H49" s="16">
        <f t="shared" si="6"/>
        <v>8.4337349397590355E-2</v>
      </c>
      <c r="I49" s="9">
        <v>40</v>
      </c>
      <c r="J49" s="17">
        <f t="shared" si="7"/>
        <v>4.3010752688172046E-2</v>
      </c>
    </row>
    <row r="50" spans="6:10" x14ac:dyDescent="0.2">
      <c r="F50" s="6" t="s">
        <v>7</v>
      </c>
      <c r="G50" s="9">
        <v>67</v>
      </c>
      <c r="H50" s="16">
        <f t="shared" si="6"/>
        <v>8.0722891566265054E-2</v>
      </c>
      <c r="I50" s="9">
        <v>60</v>
      </c>
      <c r="J50" s="17">
        <f t="shared" si="7"/>
        <v>6.4516129032258063E-2</v>
      </c>
    </row>
    <row r="51" spans="6:10" x14ac:dyDescent="0.2">
      <c r="F51" s="6" t="s">
        <v>8</v>
      </c>
      <c r="G51" s="9">
        <v>79</v>
      </c>
      <c r="H51" s="16">
        <f t="shared" si="6"/>
        <v>9.5180722891566261E-2</v>
      </c>
      <c r="I51" s="9">
        <v>60</v>
      </c>
      <c r="J51" s="17">
        <f t="shared" si="7"/>
        <v>6.4516129032258063E-2</v>
      </c>
    </row>
    <row r="52" spans="6:10" x14ac:dyDescent="0.2">
      <c r="F52" s="6" t="s">
        <v>9</v>
      </c>
      <c r="G52" s="9">
        <v>93</v>
      </c>
      <c r="H52" s="16">
        <f t="shared" si="6"/>
        <v>0.11204819277108434</v>
      </c>
      <c r="I52" s="9">
        <v>70</v>
      </c>
      <c r="J52" s="17">
        <f t="shared" si="7"/>
        <v>7.5268817204301078E-2</v>
      </c>
    </row>
    <row r="53" spans="6:10" x14ac:dyDescent="0.2">
      <c r="F53" s="6" t="s">
        <v>10</v>
      </c>
      <c r="G53" s="9">
        <v>83</v>
      </c>
      <c r="H53" s="16">
        <f t="shared" si="6"/>
        <v>0.1</v>
      </c>
      <c r="I53" s="9">
        <v>64</v>
      </c>
      <c r="J53" s="17">
        <f t="shared" si="7"/>
        <v>6.8817204301075269E-2</v>
      </c>
    </row>
    <row r="54" spans="6:10" ht="13.5" thickBot="1" x14ac:dyDescent="0.25">
      <c r="F54" s="7" t="s">
        <v>11</v>
      </c>
      <c r="G54" s="18">
        <v>118</v>
      </c>
      <c r="H54" s="19">
        <f t="shared" si="6"/>
        <v>0.14216867469879518</v>
      </c>
      <c r="I54" s="18">
        <v>89</v>
      </c>
      <c r="J54" s="20">
        <f t="shared" si="7"/>
        <v>9.56989247311828E-2</v>
      </c>
    </row>
    <row r="55" spans="6:10" ht="13.5" thickTop="1" x14ac:dyDescent="0.2">
      <c r="F55" s="12" t="s">
        <v>51</v>
      </c>
      <c r="H55" s="21">
        <f>SUM(H43:H54)</f>
        <v>0.88795180722891565</v>
      </c>
      <c r="J55" s="21">
        <f>SUM(J43:J54)</f>
        <v>0.88064516129032266</v>
      </c>
    </row>
    <row r="56" spans="6:10" x14ac:dyDescent="0.2">
      <c r="F56" s="1" t="s">
        <v>21</v>
      </c>
      <c r="G56" s="11">
        <v>830</v>
      </c>
      <c r="H56" s="21"/>
      <c r="I56" s="11">
        <v>930</v>
      </c>
    </row>
    <row r="57" spans="6:10" ht="13.5" thickBot="1" x14ac:dyDescent="0.25"/>
    <row r="58" spans="6:10" ht="13.5" thickTop="1" x14ac:dyDescent="0.2">
      <c r="F58" s="2"/>
      <c r="G58" s="243" t="s">
        <v>122</v>
      </c>
      <c r="H58" s="244"/>
      <c r="I58" s="244"/>
      <c r="J58" s="245"/>
    </row>
    <row r="59" spans="6:10" ht="13.5" thickBot="1" x14ac:dyDescent="0.25">
      <c r="F59" s="3" t="s">
        <v>0</v>
      </c>
      <c r="G59" s="9" t="s">
        <v>13</v>
      </c>
      <c r="H59" s="4" t="s">
        <v>14</v>
      </c>
      <c r="I59" s="9" t="s">
        <v>15</v>
      </c>
      <c r="J59" s="5" t="s">
        <v>16</v>
      </c>
    </row>
    <row r="60" spans="6:10" ht="13.5" thickTop="1" x14ac:dyDescent="0.2">
      <c r="F60" s="8" t="s">
        <v>12</v>
      </c>
      <c r="G60" s="13">
        <f>8+5</f>
        <v>13</v>
      </c>
      <c r="H60" s="14">
        <f t="shared" ref="H60:H71" si="8">G60/$G$73</f>
        <v>2.3297491039426525E-2</v>
      </c>
      <c r="I60" s="13">
        <v>61</v>
      </c>
      <c r="J60" s="15">
        <f t="shared" ref="J60:J71" si="9">I60/$I$73</f>
        <v>9.93485342019544E-2</v>
      </c>
    </row>
    <row r="61" spans="6:10" x14ac:dyDescent="0.2">
      <c r="F61" s="6" t="s">
        <v>1</v>
      </c>
      <c r="G61" s="9">
        <f>6+3</f>
        <v>9</v>
      </c>
      <c r="H61" s="22">
        <f t="shared" si="8"/>
        <v>1.6129032258064516E-2</v>
      </c>
      <c r="I61" s="9">
        <v>52</v>
      </c>
      <c r="J61" s="17">
        <f t="shared" si="9"/>
        <v>8.4690553745928335E-2</v>
      </c>
    </row>
    <row r="62" spans="6:10" x14ac:dyDescent="0.2">
      <c r="F62" s="6" t="s">
        <v>2</v>
      </c>
      <c r="G62" s="9">
        <f>5+3</f>
        <v>8</v>
      </c>
      <c r="H62" s="22">
        <f t="shared" si="8"/>
        <v>1.4336917562724014E-2</v>
      </c>
      <c r="I62" s="9">
        <v>38</v>
      </c>
      <c r="J62" s="17">
        <f t="shared" si="9"/>
        <v>6.1889250814332247E-2</v>
      </c>
    </row>
    <row r="63" spans="6:10" x14ac:dyDescent="0.2">
      <c r="F63" s="6" t="s">
        <v>3</v>
      </c>
      <c r="G63" s="9">
        <f>11+5</f>
        <v>16</v>
      </c>
      <c r="H63" s="22">
        <f t="shared" si="8"/>
        <v>2.8673835125448029E-2</v>
      </c>
      <c r="I63" s="9">
        <v>34</v>
      </c>
      <c r="J63" s="17">
        <f t="shared" si="9"/>
        <v>5.5374592833876218E-2</v>
      </c>
    </row>
    <row r="64" spans="6:10" x14ac:dyDescent="0.2">
      <c r="F64" s="6" t="s">
        <v>4</v>
      </c>
      <c r="G64" s="9">
        <f>11+5</f>
        <v>16</v>
      </c>
      <c r="H64" s="22">
        <f t="shared" si="8"/>
        <v>2.8673835125448029E-2</v>
      </c>
      <c r="I64" s="9">
        <v>32</v>
      </c>
      <c r="J64" s="17">
        <f t="shared" si="9"/>
        <v>5.2117263843648211E-2</v>
      </c>
    </row>
    <row r="65" spans="6:10" x14ac:dyDescent="0.2">
      <c r="F65" s="6" t="s">
        <v>5</v>
      </c>
      <c r="G65" s="9">
        <f>21+6</f>
        <v>27</v>
      </c>
      <c r="H65" s="22">
        <f t="shared" si="8"/>
        <v>4.8387096774193547E-2</v>
      </c>
      <c r="I65" s="9">
        <v>39</v>
      </c>
      <c r="J65" s="17">
        <f t="shared" si="9"/>
        <v>6.3517915309446255E-2</v>
      </c>
    </row>
    <row r="66" spans="6:10" x14ac:dyDescent="0.2">
      <c r="F66" s="6" t="s">
        <v>6</v>
      </c>
      <c r="G66" s="9">
        <f>34+11</f>
        <v>45</v>
      </c>
      <c r="H66" s="22">
        <f t="shared" si="8"/>
        <v>8.0645161290322578E-2</v>
      </c>
      <c r="I66" s="9">
        <v>43</v>
      </c>
      <c r="J66" s="17">
        <f t="shared" si="9"/>
        <v>7.0032573289902283E-2</v>
      </c>
    </row>
    <row r="67" spans="6:10" x14ac:dyDescent="0.2">
      <c r="F67" s="6" t="s">
        <v>7</v>
      </c>
      <c r="G67" s="9">
        <f>33+6</f>
        <v>39</v>
      </c>
      <c r="H67" s="22">
        <f t="shared" si="8"/>
        <v>6.9892473118279563E-2</v>
      </c>
      <c r="I67" s="9">
        <v>34</v>
      </c>
      <c r="J67" s="17">
        <f t="shared" si="9"/>
        <v>5.5374592833876218E-2</v>
      </c>
    </row>
    <row r="68" spans="6:10" x14ac:dyDescent="0.2">
      <c r="F68" s="6" t="s">
        <v>8</v>
      </c>
      <c r="G68" s="9">
        <f>35+9</f>
        <v>44</v>
      </c>
      <c r="H68" s="22">
        <f t="shared" si="8"/>
        <v>7.8853046594982074E-2</v>
      </c>
      <c r="I68" s="9">
        <v>26</v>
      </c>
      <c r="J68" s="17">
        <f t="shared" si="9"/>
        <v>4.2345276872964167E-2</v>
      </c>
    </row>
    <row r="69" spans="6:10" x14ac:dyDescent="0.2">
      <c r="F69" s="6" t="s">
        <v>9</v>
      </c>
      <c r="G69" s="9">
        <f>57+12</f>
        <v>69</v>
      </c>
      <c r="H69" s="22">
        <f t="shared" si="8"/>
        <v>0.12365591397849462</v>
      </c>
      <c r="I69" s="9">
        <v>33</v>
      </c>
      <c r="J69" s="17">
        <f t="shared" si="9"/>
        <v>5.3745928338762218E-2</v>
      </c>
    </row>
    <row r="70" spans="6:10" x14ac:dyDescent="0.2">
      <c r="F70" s="6" t="s">
        <v>10</v>
      </c>
      <c r="G70" s="9">
        <f>67+8</f>
        <v>75</v>
      </c>
      <c r="H70" s="22">
        <f t="shared" si="8"/>
        <v>0.13440860215053763</v>
      </c>
      <c r="I70" s="9">
        <v>37</v>
      </c>
      <c r="J70" s="17">
        <f t="shared" si="9"/>
        <v>6.026058631921824E-2</v>
      </c>
    </row>
    <row r="71" spans="6:10" ht="13.5" thickBot="1" x14ac:dyDescent="0.25">
      <c r="F71" s="7" t="s">
        <v>11</v>
      </c>
      <c r="G71" s="18">
        <f>49+12</f>
        <v>61</v>
      </c>
      <c r="H71" s="19">
        <f t="shared" si="8"/>
        <v>0.10931899641577061</v>
      </c>
      <c r="I71" s="18">
        <v>35</v>
      </c>
      <c r="J71" s="20">
        <f t="shared" si="9"/>
        <v>5.7003257328990226E-2</v>
      </c>
    </row>
    <row r="72" spans="6:10" ht="13.5" thickTop="1" x14ac:dyDescent="0.2">
      <c r="F72" s="12" t="s">
        <v>99</v>
      </c>
      <c r="H72" s="21">
        <f>SUM(H60:H71)</f>
        <v>0.75627240143369168</v>
      </c>
      <c r="J72" s="21">
        <f>SUM(J60:J71)</f>
        <v>0.75570032573289925</v>
      </c>
    </row>
    <row r="73" spans="6:10" x14ac:dyDescent="0.2">
      <c r="F73" s="1" t="s">
        <v>21</v>
      </c>
      <c r="G73" s="11">
        <f>446+112</f>
        <v>558</v>
      </c>
      <c r="H73" s="21"/>
      <c r="I73" s="11">
        <v>614</v>
      </c>
    </row>
    <row r="75" spans="6:10" ht="13.5" thickBot="1" x14ac:dyDescent="0.25"/>
    <row r="76" spans="6:10" ht="13.5" thickTop="1" x14ac:dyDescent="0.2">
      <c r="F76" s="2"/>
      <c r="G76" s="243" t="s">
        <v>134</v>
      </c>
      <c r="H76" s="244"/>
      <c r="I76" s="244"/>
      <c r="J76" s="245"/>
    </row>
    <row r="77" spans="6:10" ht="13.5" thickBot="1" x14ac:dyDescent="0.25">
      <c r="F77" s="3" t="s">
        <v>0</v>
      </c>
      <c r="G77" s="9" t="s">
        <v>13</v>
      </c>
      <c r="H77" s="4" t="s">
        <v>23</v>
      </c>
      <c r="I77" s="9" t="s">
        <v>15</v>
      </c>
      <c r="J77" s="5" t="s">
        <v>24</v>
      </c>
    </row>
    <row r="78" spans="6:10" ht="13.5" thickTop="1" x14ac:dyDescent="0.2">
      <c r="F78" s="8" t="s">
        <v>26</v>
      </c>
      <c r="G78" s="13">
        <f>+G7+G25+G43+G60</f>
        <v>40</v>
      </c>
      <c r="H78" s="14">
        <f>AVERAGE(H7,H25,H43,H60)</f>
        <v>1.9168892624358863E-2</v>
      </c>
      <c r="I78" s="13">
        <f t="shared" ref="I78:I89" si="10">+I7+I25+I43</f>
        <v>83</v>
      </c>
      <c r="J78" s="15">
        <f>+AVERAGE(J7,J25,J43,J60)</f>
        <v>7.6589664201996588E-2</v>
      </c>
    </row>
    <row r="79" spans="6:10" x14ac:dyDescent="0.2">
      <c r="F79" s="6" t="s">
        <v>27</v>
      </c>
      <c r="G79" s="9">
        <f>+G8+G26+G44+G61</f>
        <v>28</v>
      </c>
      <c r="H79" s="22">
        <f>AVERAGE(H8,H26,H44,H61)</f>
        <v>1.4967139374801494E-2</v>
      </c>
      <c r="I79" s="9">
        <f t="shared" si="10"/>
        <v>172</v>
      </c>
      <c r="J79" s="17">
        <f>+AVERAGE(J8,J26,J44,J61)</f>
        <v>0.12192147270805666</v>
      </c>
    </row>
    <row r="80" spans="6:10" x14ac:dyDescent="0.2">
      <c r="F80" s="6" t="s">
        <v>28</v>
      </c>
      <c r="G80" s="9">
        <f t="shared" ref="G80:G88" si="11">+G9+G27+G45+G62</f>
        <v>54</v>
      </c>
      <c r="H80" s="22">
        <f t="shared" ref="H80:H88" si="12">AVERAGE(H9,H27,H45,H62)</f>
        <v>2.9387697888096018E-2</v>
      </c>
      <c r="I80" s="9">
        <f t="shared" si="10"/>
        <v>148</v>
      </c>
      <c r="J80" s="17">
        <f t="shared" ref="J80:J88" si="13">+AVERAGE(J9,J27,J45,J62)</f>
        <v>7.6713352767325355E-2</v>
      </c>
    </row>
    <row r="81" spans="6:10" x14ac:dyDescent="0.2">
      <c r="F81" s="6" t="s">
        <v>29</v>
      </c>
      <c r="G81" s="9">
        <f t="shared" si="11"/>
        <v>78</v>
      </c>
      <c r="H81" s="22">
        <f t="shared" si="12"/>
        <v>3.7330214084536649E-2</v>
      </c>
      <c r="I81" s="9">
        <f t="shared" si="10"/>
        <v>85</v>
      </c>
      <c r="J81" s="17">
        <f t="shared" si="13"/>
        <v>5.1231414827267834E-2</v>
      </c>
    </row>
    <row r="82" spans="6:10" x14ac:dyDescent="0.2">
      <c r="F82" s="6" t="s">
        <v>30</v>
      </c>
      <c r="G82" s="9">
        <f t="shared" si="11"/>
        <v>75</v>
      </c>
      <c r="H82" s="22">
        <f t="shared" si="12"/>
        <v>4.2560569976073846E-2</v>
      </c>
      <c r="I82" s="9">
        <f t="shared" si="10"/>
        <v>90</v>
      </c>
      <c r="J82" s="17">
        <f t="shared" si="13"/>
        <v>5.8289400716135843E-2</v>
      </c>
    </row>
    <row r="83" spans="6:10" x14ac:dyDescent="0.2">
      <c r="F83" s="6" t="s">
        <v>37</v>
      </c>
      <c r="G83" s="9">
        <f t="shared" si="11"/>
        <v>127</v>
      </c>
      <c r="H83" s="22">
        <f t="shared" si="12"/>
        <v>7.0083464993198341E-2</v>
      </c>
      <c r="I83" s="9">
        <f t="shared" si="10"/>
        <v>84</v>
      </c>
      <c r="J83" s="17">
        <f t="shared" si="13"/>
        <v>5.1542051489443318E-2</v>
      </c>
    </row>
    <row r="84" spans="6:10" x14ac:dyDescent="0.2">
      <c r="F84" s="6" t="s">
        <v>31</v>
      </c>
      <c r="G84" s="9">
        <f t="shared" si="11"/>
        <v>138</v>
      </c>
      <c r="H84" s="22">
        <f t="shared" si="12"/>
        <v>7.0686461228665454E-2</v>
      </c>
      <c r="I84" s="9">
        <f t="shared" si="10"/>
        <v>60</v>
      </c>
      <c r="J84" s="17">
        <f t="shared" si="13"/>
        <v>6.0503755687378778E-2</v>
      </c>
    </row>
    <row r="85" spans="6:10" x14ac:dyDescent="0.2">
      <c r="F85" s="6" t="s">
        <v>32</v>
      </c>
      <c r="G85" s="9">
        <f t="shared" si="11"/>
        <v>124</v>
      </c>
      <c r="H85" s="22">
        <f t="shared" si="12"/>
        <v>5.9313583867464215E-2</v>
      </c>
      <c r="I85" s="9">
        <f t="shared" si="10"/>
        <v>77</v>
      </c>
      <c r="J85" s="17">
        <f t="shared" si="13"/>
        <v>4.7260406252339286E-2</v>
      </c>
    </row>
    <row r="86" spans="6:10" x14ac:dyDescent="0.2">
      <c r="F86" s="6" t="s">
        <v>33</v>
      </c>
      <c r="G86" s="9">
        <f t="shared" si="11"/>
        <v>152</v>
      </c>
      <c r="H86" s="22">
        <f t="shared" si="12"/>
        <v>7.9507504285333153E-2</v>
      </c>
      <c r="I86" s="9">
        <f t="shared" si="10"/>
        <v>95</v>
      </c>
      <c r="J86" s="17">
        <f t="shared" si="13"/>
        <v>6.8451946555241699E-2</v>
      </c>
    </row>
    <row r="87" spans="6:10" x14ac:dyDescent="0.2">
      <c r="F87" s="6" t="s">
        <v>34</v>
      </c>
      <c r="G87" s="9">
        <f t="shared" si="11"/>
        <v>203</v>
      </c>
      <c r="H87" s="22">
        <f t="shared" si="12"/>
        <v>0.1020863724392039</v>
      </c>
      <c r="I87" s="9">
        <f t="shared" si="10"/>
        <v>97</v>
      </c>
      <c r="J87" s="17">
        <f t="shared" si="13"/>
        <v>5.8046603467262058E-2</v>
      </c>
    </row>
    <row r="88" spans="6:10" x14ac:dyDescent="0.2">
      <c r="F88" s="6" t="s">
        <v>35</v>
      </c>
      <c r="G88" s="9">
        <f t="shared" si="11"/>
        <v>223</v>
      </c>
      <c r="H88" s="22">
        <f t="shared" si="12"/>
        <v>0.13792069784398658</v>
      </c>
      <c r="I88" s="9">
        <f t="shared" si="10"/>
        <v>94</v>
      </c>
      <c r="J88" s="17">
        <f t="shared" si="13"/>
        <v>6.648933102870444E-2</v>
      </c>
    </row>
    <row r="89" spans="6:10" ht="13.5" thickBot="1" x14ac:dyDescent="0.25">
      <c r="F89" s="7" t="s">
        <v>36</v>
      </c>
      <c r="G89" s="18">
        <f>+G18+G36+G54+G71</f>
        <v>239</v>
      </c>
      <c r="H89" s="19">
        <f>AVERAGE(H18,H36,H54,H71)</f>
        <v>0.13639443184993602</v>
      </c>
      <c r="I89" s="18">
        <f t="shared" si="10"/>
        <v>115</v>
      </c>
      <c r="J89" s="20">
        <f>+AVERAGE(J18,J36,J54,J71)</f>
        <v>6.768770594741419E-2</v>
      </c>
    </row>
    <row r="90" spans="6:10" ht="13.5" thickTop="1" x14ac:dyDescent="0.2">
      <c r="F90" s="12" t="s">
        <v>25</v>
      </c>
      <c r="H90" s="21">
        <f>SUM(H78:H89)</f>
        <v>0.79940703045565453</v>
      </c>
      <c r="J90" s="21">
        <f>SUM(J78:J89)</f>
        <v>0.80472710564856609</v>
      </c>
    </row>
    <row r="91" spans="6:10" x14ac:dyDescent="0.2">
      <c r="F91" s="1" t="s">
        <v>21</v>
      </c>
      <c r="G91" s="11">
        <f>+G20+G38+G56+G73</f>
        <v>1807</v>
      </c>
      <c r="H91" s="21"/>
      <c r="I91" s="11">
        <f>+I20+I38+I56+I73</f>
        <v>2028</v>
      </c>
    </row>
    <row r="95" spans="6:10" x14ac:dyDescent="0.2">
      <c r="I95" s="10"/>
    </row>
    <row r="96" spans="6:10" x14ac:dyDescent="0.2">
      <c r="I96" s="10"/>
    </row>
    <row r="97" spans="6:9" x14ac:dyDescent="0.2">
      <c r="I97" s="10"/>
    </row>
    <row r="98" spans="6:9" x14ac:dyDescent="0.2">
      <c r="I98" s="59"/>
    </row>
    <row r="99" spans="6:9" x14ac:dyDescent="0.2">
      <c r="I99" s="59"/>
    </row>
    <row r="100" spans="6:9" x14ac:dyDescent="0.2">
      <c r="I100" s="59"/>
    </row>
    <row r="101" spans="6:9" x14ac:dyDescent="0.2">
      <c r="I101" s="59"/>
    </row>
    <row r="102" spans="6:9" x14ac:dyDescent="0.2">
      <c r="I102" s="59"/>
    </row>
    <row r="103" spans="6:9" x14ac:dyDescent="0.2">
      <c r="I103" s="59"/>
    </row>
    <row r="104" spans="6:9" x14ac:dyDescent="0.2">
      <c r="I104" s="59"/>
    </row>
    <row r="105" spans="6:9" x14ac:dyDescent="0.2">
      <c r="I105" s="59"/>
    </row>
    <row r="106" spans="6:9" x14ac:dyDescent="0.2">
      <c r="I106" s="59"/>
    </row>
    <row r="107" spans="6:9" x14ac:dyDescent="0.2">
      <c r="I107" s="59"/>
    </row>
    <row r="108" spans="6:9" x14ac:dyDescent="0.2">
      <c r="I108" s="59"/>
    </row>
    <row r="109" spans="6:9" x14ac:dyDescent="0.2">
      <c r="I109" s="10"/>
    </row>
    <row r="110" spans="6:9" x14ac:dyDescent="0.2">
      <c r="F110" s="45"/>
      <c r="G110" s="10"/>
      <c r="H110" s="10"/>
      <c r="I110" s="10"/>
    </row>
    <row r="113" spans="6:10" x14ac:dyDescent="0.2">
      <c r="F113" s="87"/>
      <c r="G113" s="252"/>
      <c r="H113" s="252"/>
      <c r="I113" s="252"/>
      <c r="J113" s="252"/>
    </row>
    <row r="114" spans="6:10" x14ac:dyDescent="0.2">
      <c r="F114" s="87"/>
      <c r="G114" s="4"/>
      <c r="H114" s="4"/>
      <c r="I114" s="4"/>
      <c r="J114" s="4"/>
    </row>
    <row r="115" spans="6:10" x14ac:dyDescent="0.2">
      <c r="F115" s="88"/>
      <c r="G115" s="89"/>
      <c r="H115" s="16"/>
      <c r="I115" s="4"/>
      <c r="J115" s="16"/>
    </row>
    <row r="116" spans="6:10" x14ac:dyDescent="0.2">
      <c r="F116" s="88"/>
      <c r="G116" s="89"/>
      <c r="H116" s="16"/>
      <c r="I116" s="4"/>
      <c r="J116" s="16"/>
    </row>
    <row r="117" spans="6:10" x14ac:dyDescent="0.2">
      <c r="F117" s="88"/>
      <c r="G117" s="89"/>
      <c r="H117" s="16"/>
      <c r="I117" s="4"/>
      <c r="J117" s="16"/>
    </row>
    <row r="118" spans="6:10" x14ac:dyDescent="0.2">
      <c r="F118" s="88"/>
      <c r="G118" s="89"/>
      <c r="H118" s="16"/>
      <c r="I118" s="4"/>
      <c r="J118" s="16"/>
    </row>
    <row r="119" spans="6:10" x14ac:dyDescent="0.2">
      <c r="F119" s="88"/>
      <c r="G119" s="89"/>
      <c r="H119" s="16"/>
      <c r="I119" s="4"/>
      <c r="J119" s="16"/>
    </row>
    <row r="120" spans="6:10" x14ac:dyDescent="0.2">
      <c r="F120" s="88"/>
      <c r="G120" s="89"/>
      <c r="H120" s="16"/>
      <c r="I120" s="4"/>
      <c r="J120" s="16"/>
    </row>
    <row r="121" spans="6:10" x14ac:dyDescent="0.2">
      <c r="F121" s="88"/>
      <c r="G121" s="89"/>
      <c r="H121" s="16"/>
      <c r="I121" s="4"/>
      <c r="J121" s="16"/>
    </row>
    <row r="122" spans="6:10" x14ac:dyDescent="0.2">
      <c r="F122" s="88"/>
      <c r="G122" s="89"/>
      <c r="H122" s="16"/>
      <c r="I122" s="4"/>
      <c r="J122" s="16"/>
    </row>
    <row r="123" spans="6:10" x14ac:dyDescent="0.2">
      <c r="F123" s="88"/>
      <c r="G123" s="89"/>
      <c r="H123" s="16"/>
      <c r="I123" s="4"/>
      <c r="J123" s="16"/>
    </row>
    <row r="124" spans="6:10" x14ac:dyDescent="0.2">
      <c r="F124" s="88"/>
      <c r="G124" s="89"/>
      <c r="H124" s="16"/>
      <c r="I124" s="4"/>
      <c r="J124" s="16"/>
    </row>
    <row r="125" spans="6:10" x14ac:dyDescent="0.2">
      <c r="F125" s="88"/>
      <c r="G125" s="89"/>
      <c r="H125" s="16"/>
      <c r="I125" s="4"/>
      <c r="J125" s="16"/>
    </row>
    <row r="126" spans="6:10" x14ac:dyDescent="0.2">
      <c r="F126" s="88"/>
      <c r="G126" s="89"/>
      <c r="H126" s="16"/>
      <c r="I126" s="4"/>
      <c r="J126" s="16"/>
    </row>
    <row r="127" spans="6:10" x14ac:dyDescent="0.2">
      <c r="F127" s="63"/>
      <c r="G127" s="4"/>
      <c r="H127" s="16"/>
      <c r="I127" s="4"/>
      <c r="J127" s="16"/>
    </row>
    <row r="128" spans="6:10" x14ac:dyDescent="0.2">
      <c r="F128" s="88"/>
      <c r="G128" s="4"/>
      <c r="H128" s="16"/>
      <c r="I128" s="4"/>
      <c r="J128" s="4"/>
    </row>
  </sheetData>
  <mergeCells count="9">
    <mergeCell ref="B5:B6"/>
    <mergeCell ref="C5:D5"/>
    <mergeCell ref="B2:Z3"/>
    <mergeCell ref="G113:J113"/>
    <mergeCell ref="G58:J58"/>
    <mergeCell ref="G5:J5"/>
    <mergeCell ref="G23:J23"/>
    <mergeCell ref="G41:J41"/>
    <mergeCell ref="G76:J76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9AF54-0C4C-4CBE-9048-57355DBAB4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C891B9-478F-45DD-B087-6766ACA1C22E}"/>
</file>

<file path=customXml/itemProps3.xml><?xml version="1.0" encoding="utf-8"?>
<ds:datastoreItem xmlns:ds="http://schemas.openxmlformats.org/officeDocument/2006/customXml" ds:itemID="{D8A9681F-3836-46FB-A529-BFE09A78EF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Hourly Distribution</vt:lpstr>
      <vt:lpstr>Distribution Summary</vt:lpstr>
      <vt:lpstr>110-Light Industrial (ITE)</vt:lpstr>
      <vt:lpstr>110 - Light Industrial (WisDOT)</vt:lpstr>
      <vt:lpstr>140-Manufacturing (ITE)</vt:lpstr>
      <vt:lpstr>140 - Manufacturing (WisDOT)</vt:lpstr>
      <vt:lpstr>154 - High-Cube Warehouse (ITE)</vt:lpstr>
      <vt:lpstr>210-Single Family (ITE)</vt:lpstr>
      <vt:lpstr>210 - Single Family (WisDOT)</vt:lpstr>
      <vt:lpstr>220-MultiFam HousingLR (ITE)</vt:lpstr>
      <vt:lpstr>220-MultiFam HousingLR (WisDOT)</vt:lpstr>
      <vt:lpstr>430 - Golf Course (ITE)</vt:lpstr>
      <vt:lpstr>&lt;445 - Movie Theater (WisDOT)&gt;</vt:lpstr>
      <vt:lpstr>495-Rec. Center (ITE)</vt:lpstr>
      <vt:lpstr>495 - Rec. Center (WisDOT)</vt:lpstr>
      <vt:lpstr>525-High School (ITE)</vt:lpstr>
      <vt:lpstr>525 - High School (WisDOT)</vt:lpstr>
      <vt:lpstr>565 - Day Care (ITE)</vt:lpstr>
      <vt:lpstr>710-General Office (ITE)</vt:lpstr>
      <vt:lpstr>&lt;710 - General Office (WisDOT)&gt;</vt:lpstr>
      <vt:lpstr>750 - Office Park (WisDOT)</vt:lpstr>
      <vt:lpstr>813 - Discount Superstore (ITE)</vt:lpstr>
      <vt:lpstr>815 - Discount Store (ITE)</vt:lpstr>
      <vt:lpstr>820 - Shopping Center (ITE)</vt:lpstr>
      <vt:lpstr>820 - Shopping Center, AM (WisD</vt:lpstr>
      <vt:lpstr>840-Car Dealership New (ITE)</vt:lpstr>
      <vt:lpstr>&lt;841 - Car Dealership (WisDOT)&gt;</vt:lpstr>
      <vt:lpstr>850-Supermarket (ITE)</vt:lpstr>
      <vt:lpstr>850 - Supermarket (WisDOT)</vt:lpstr>
      <vt:lpstr>857 - Discount Club (ITE)</vt:lpstr>
      <vt:lpstr>&lt;857 - Discount Club (WisDOT)&gt;</vt:lpstr>
      <vt:lpstr>862-Home Improvement (ITE)</vt:lpstr>
      <vt:lpstr>862 - Home Improvement (WisDOT)</vt:lpstr>
      <vt:lpstr>875-Department Store (ITE)</vt:lpstr>
      <vt:lpstr>932 - HTSD Restaurant (ITE)</vt:lpstr>
      <vt:lpstr>934 - Fast-Food w Drive (ITE)</vt:lpstr>
      <vt:lpstr>&lt;934 - Fast Food (WisDOT)&gt;</vt:lpstr>
      <vt:lpstr>945-Gas Station 2-4k (ITE)</vt:lpstr>
      <vt:lpstr>945-Gas Station 4-10k (ITE)</vt:lpstr>
      <vt:lpstr>&lt;945 - Gas Station (WisDOT)&gt;</vt:lpstr>
      <vt:lpstr>Medical (WisDOT)</vt:lpstr>
      <vt:lpstr>Restaurants (WisDOT)</vt:lpstr>
      <vt:lpstr>&lt;Aldi (WisDOT)&gt;</vt:lpstr>
      <vt:lpstr>&lt;WalMart-Menards (WisDOT)&gt;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 Baumann</dc:creator>
  <cp:lastModifiedBy>ZIMNY, SAMANTHA</cp:lastModifiedBy>
  <cp:lastPrinted>2005-09-14T16:00:33Z</cp:lastPrinted>
  <dcterms:created xsi:type="dcterms:W3CDTF">2005-01-04T13:18:39Z</dcterms:created>
  <dcterms:modified xsi:type="dcterms:W3CDTF">2023-03-14T15:12:29Z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