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ta3b\Desktop\"/>
    </mc:Choice>
  </mc:AlternateContent>
  <bookViews>
    <workbookView xWindow="0" yWindow="0" windowWidth="20460" windowHeight="4935"/>
  </bookViews>
  <sheets>
    <sheet name="Sheet1" sheetId="1" r:id="rId1"/>
  </sheets>
  <definedNames>
    <definedName name="_xlnm._FilterDatabase" localSheetId="0" hidden="1">Sheet1!$A$2:$H$71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G67" i="1" s="1"/>
  <c r="F69" i="1"/>
  <c r="G69" i="1"/>
  <c r="F68" i="1"/>
  <c r="F62" i="1"/>
  <c r="G68" i="1"/>
  <c r="F60" i="1"/>
  <c r="F71" i="1"/>
  <c r="F70" i="1"/>
  <c r="F66" i="1"/>
  <c r="F65" i="1"/>
  <c r="F64" i="1"/>
  <c r="F63" i="1"/>
  <c r="G63" i="1"/>
  <c r="F61" i="1"/>
  <c r="F59" i="1"/>
  <c r="F58" i="1"/>
  <c r="F57" i="1"/>
  <c r="G57" i="1" s="1"/>
  <c r="F56" i="1"/>
  <c r="F55" i="1"/>
  <c r="F54" i="1"/>
  <c r="F53" i="1"/>
  <c r="G53" i="1"/>
  <c r="F52" i="1"/>
  <c r="F51" i="1"/>
  <c r="G51" i="1" s="1"/>
  <c r="F50" i="1"/>
  <c r="F49" i="1"/>
  <c r="F48" i="1"/>
  <c r="G48" i="1" s="1"/>
  <c r="F47" i="1"/>
  <c r="F46" i="1"/>
  <c r="F45" i="1"/>
  <c r="F44" i="1"/>
  <c r="F43" i="1"/>
  <c r="G43" i="1"/>
  <c r="F42" i="1"/>
  <c r="F41" i="1"/>
  <c r="F40" i="1"/>
  <c r="G40" i="1" s="1"/>
  <c r="F39" i="1"/>
  <c r="G39" i="1" s="1"/>
  <c r="F38" i="1"/>
  <c r="F37" i="1"/>
  <c r="F36" i="1"/>
  <c r="F34" i="1"/>
  <c r="F35" i="1"/>
  <c r="G34" i="1"/>
  <c r="F33" i="1"/>
  <c r="F32" i="1"/>
  <c r="G32" i="1" s="1"/>
  <c r="F31" i="1"/>
  <c r="F30" i="1"/>
  <c r="F29" i="1"/>
  <c r="G29" i="1" s="1"/>
  <c r="F28" i="1"/>
  <c r="G28" i="1"/>
  <c r="F27" i="1"/>
  <c r="F9" i="1"/>
  <c r="F26" i="1"/>
  <c r="G26" i="1" s="1"/>
  <c r="F25" i="1"/>
  <c r="G25" i="1"/>
  <c r="F24" i="1"/>
  <c r="G24" i="1" s="1"/>
  <c r="F23" i="1"/>
  <c r="G23" i="1" s="1"/>
  <c r="F22" i="1"/>
  <c r="G22" i="1" s="1"/>
  <c r="F21" i="1"/>
  <c r="F20" i="1"/>
  <c r="G20" i="1" s="1"/>
  <c r="F19" i="1"/>
  <c r="G19" i="1"/>
  <c r="F18" i="1"/>
  <c r="F17" i="1"/>
  <c r="G17" i="1"/>
  <c r="F16" i="1"/>
  <c r="G16" i="1" s="1"/>
  <c r="F15" i="1"/>
  <c r="F14" i="1"/>
  <c r="G14" i="1"/>
  <c r="F13" i="1"/>
  <c r="F12" i="1"/>
  <c r="F11" i="1"/>
  <c r="F10" i="1"/>
  <c r="F8" i="1"/>
  <c r="G8" i="1" s="1"/>
  <c r="F7" i="1"/>
  <c r="F6" i="1"/>
  <c r="F5" i="1"/>
  <c r="G5" i="1" s="1"/>
  <c r="F4" i="1"/>
  <c r="F3" i="1"/>
  <c r="G3" i="1"/>
  <c r="G4" i="1"/>
  <c r="G6" i="1"/>
  <c r="G11" i="1"/>
  <c r="G10" i="1"/>
  <c r="G9" i="1"/>
  <c r="G12" i="1"/>
  <c r="G13" i="1"/>
  <c r="G7" i="1"/>
  <c r="G15" i="1"/>
  <c r="G18" i="1"/>
  <c r="G65" i="1"/>
  <c r="G66" i="1"/>
  <c r="G21" i="1"/>
  <c r="G27" i="1"/>
  <c r="G30" i="1"/>
  <c r="G33" i="1"/>
  <c r="G31" i="1"/>
  <c r="G36" i="1"/>
  <c r="G35" i="1"/>
  <c r="G44" i="1"/>
  <c r="G42" i="1"/>
  <c r="G38" i="1"/>
  <c r="G41" i="1"/>
  <c r="G37" i="1"/>
  <c r="G45" i="1"/>
  <c r="G47" i="1"/>
  <c r="G46" i="1"/>
  <c r="G49" i="1"/>
  <c r="G54" i="1"/>
  <c r="G52" i="1"/>
  <c r="G56" i="1"/>
  <c r="G55" i="1"/>
  <c r="G50" i="1"/>
  <c r="G58" i="1"/>
  <c r="G59" i="1"/>
  <c r="G62" i="1"/>
  <c r="G61" i="1"/>
  <c r="G60" i="1"/>
  <c r="G64" i="1"/>
  <c r="G70" i="1"/>
  <c r="G71" i="1"/>
  <c r="H65" i="1" l="1"/>
  <c r="H3" i="1"/>
</calcChain>
</file>

<file path=xl/sharedStrings.xml><?xml version="1.0" encoding="utf-8"?>
<sst xmlns="http://schemas.openxmlformats.org/spreadsheetml/2006/main" count="146" uniqueCount="79">
  <si>
    <t>Bid Item No.</t>
  </si>
  <si>
    <t>Bid Item Name</t>
  </si>
  <si>
    <t>Proposal</t>
  </si>
  <si>
    <t>502.3100</t>
  </si>
  <si>
    <t>Expansion Device (structure) 002. B-70-132</t>
  </si>
  <si>
    <t>Expansion Device (structure) 05. B-5-243</t>
  </si>
  <si>
    <t>Expansion Device (structure) 700. B-70-406</t>
  </si>
  <si>
    <t>Expansion Device (structure) 07. B-36-0051</t>
  </si>
  <si>
    <t>Expansion Device (structure) 01. B-54-0065</t>
  </si>
  <si>
    <t>Expansion Device (structure) 03. B-5-194</t>
  </si>
  <si>
    <t>Expansion Device (structure) 02. B-36-0037</t>
  </si>
  <si>
    <t>Expansion Device (structure) 03. B-36-0042</t>
  </si>
  <si>
    <t>Expansion Device (structure) 16. B-36-0074</t>
  </si>
  <si>
    <t>Expansion Device (structure) 07. B-5-247</t>
  </si>
  <si>
    <t>Expansion Device (structure) 04. B-36-0043</t>
  </si>
  <si>
    <t>Expansion Device (structure) 701. B-70-401</t>
  </si>
  <si>
    <t>Expansion Device (structure) 08. B-13-276</t>
  </si>
  <si>
    <t>Expansion Device (structure) 06. B-36-0050</t>
  </si>
  <si>
    <t>Expansion Device (structure) 01. B-16-10</t>
  </si>
  <si>
    <t>Expansion Device (structure) 09. B-36-0065</t>
  </si>
  <si>
    <t>Expansion Device (structure) 06. B-5-244</t>
  </si>
  <si>
    <t>Expansion Device (structure) 01. B-5-187</t>
  </si>
  <si>
    <t>Expansion Device (structure) 08. B-36-0062</t>
  </si>
  <si>
    <t>Expansion Device (structure) 01. B-69-0003</t>
  </si>
  <si>
    <t>Expansion Device (structure) 01. B-13-572</t>
  </si>
  <si>
    <t>Expansion Device (structure) 02. B-11-33</t>
  </si>
  <si>
    <t>Expansion Device (structure) 01. B-37-158</t>
  </si>
  <si>
    <t>Expansion Device (structure) 01. B-11-30</t>
  </si>
  <si>
    <t>Expansion Device (structure) 01. B-69-15</t>
  </si>
  <si>
    <t>Expansion Device (structure) 09. B-5-254</t>
  </si>
  <si>
    <t>Expansion Device (structure) 03. B-36-0046</t>
  </si>
  <si>
    <t>Expansion Device (structure) 01. B-49-29</t>
  </si>
  <si>
    <t>Expansion Device (structure) 04. B-5-242</t>
  </si>
  <si>
    <t>Expansion Device (structure) 02. B-13-92</t>
  </si>
  <si>
    <t>Expansion Device (structure) 07. B-13-275</t>
  </si>
  <si>
    <t>Expansion Device (structure) 002. B-70-409</t>
  </si>
  <si>
    <t>Expansion Device (structure) 10. B-5-189</t>
  </si>
  <si>
    <t>Expansion Device (structure) 07. B-36-0061</t>
  </si>
  <si>
    <t>Expansion Device (structure) 06. B-36-0059</t>
  </si>
  <si>
    <t>Expansion Device (structure) 04. B-13-94</t>
  </si>
  <si>
    <t>Expansion Device (structure) 10. B-36-0066</t>
  </si>
  <si>
    <t>Expansion Device (structure) 06. B-13-273</t>
  </si>
  <si>
    <t>Expansion Device (structure) 08. B-5-248</t>
  </si>
  <si>
    <t>Expansion Device (structure) 04. B-13-271</t>
  </si>
  <si>
    <t>Expansion Device (structure) 001. B-70-131</t>
  </si>
  <si>
    <t>Expansion Device (structure) 01. B-32-67</t>
  </si>
  <si>
    <t>Expansion Device (structure) 13. B-36-0069</t>
  </si>
  <si>
    <t>Expansion Device (structure) 05. B-36-0045</t>
  </si>
  <si>
    <t>Expansion Device (structure) 02. B-5-188</t>
  </si>
  <si>
    <t>Expansion Device (structure) 01. B-13-91</t>
  </si>
  <si>
    <t>Expansion Device (structure) 01. B-69-13</t>
  </si>
  <si>
    <t>Expansion Device (structure) 01. B-62-45</t>
  </si>
  <si>
    <t>Expansion Device (structure) 01. B-64-123</t>
  </si>
  <si>
    <t>Expansion Device (structure) 01. B-69-16</t>
  </si>
  <si>
    <t>Expansion Device (structure) 01. B-71-39</t>
  </si>
  <si>
    <t>Expansion Device (structure) 02. B-13-269</t>
  </si>
  <si>
    <t>Expansion Device (structure) 03. B-13-270</t>
  </si>
  <si>
    <t>Expansion Device (structure) 02. B-16-11</t>
  </si>
  <si>
    <t>Expansion Device (structure) 05. B-13-272</t>
  </si>
  <si>
    <t>Expansion Device (structure) 001. B-70-407</t>
  </si>
  <si>
    <t>Expansion Device (structure) 05. B-13-297</t>
  </si>
  <si>
    <t>Expansion Device (structure) 01. B-13-268</t>
  </si>
  <si>
    <t>Expansion Device (structure) 01. B-9-99</t>
  </si>
  <si>
    <t>Expansion Device (structure) 02. B-49-30</t>
  </si>
  <si>
    <t>Expansion Device (structure) 02. B-37-159</t>
  </si>
  <si>
    <t>Expansion Device (structure) 03. B-13-93</t>
  </si>
  <si>
    <t>Bid Item Price</t>
  </si>
  <si>
    <t>Lineal Foot of Joint</t>
  </si>
  <si>
    <t>$/LF</t>
  </si>
  <si>
    <t>502.3110.S</t>
  </si>
  <si>
    <t>Expansion Device Modular (structure) 700. B-70-61</t>
  </si>
  <si>
    <t>Expansion Device Modular (structure) 001. B-53-357</t>
  </si>
  <si>
    <t>Expansion Device Modular (structure) 01. B-9-146</t>
  </si>
  <si>
    <t>Expansion Device Modular (structure) 701. B-70-401</t>
  </si>
  <si>
    <t>Expansion Device Modular (structure) 02. B-9-147</t>
  </si>
  <si>
    <t>Expansion Device Modular (structure) 002. B-53-358</t>
  </si>
  <si>
    <t>Expansion Device Modular (structure) 702. B-70-405</t>
  </si>
  <si>
    <t>Expansion Joint Pricing 2016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</si>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</sst>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quotePrefix="1"/>
    <xf numFmtId="44" fontId="0" fillId="0" borderId="0" xfId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workbookViewId="0"/>
  </sheetViews>
  <sheetFormatPr defaultRowHeight="15" x14ac:dyDescent="0.25"/>
  <cols>
    <col min="2" max="2" width="12" bestFit="1" customWidth="1"/>
    <col min="3" max="3" width="47.42578125" bestFit="1" customWidth="1"/>
    <col min="4" max="4" width="12" bestFit="1" customWidth="1"/>
    <col min="5" max="5" width="13.42578125" bestFit="1" customWidth="1"/>
    <col min="6" max="6" width="18" bestFit="1" customWidth="1"/>
  </cols>
  <sheetData>
    <row r="1" spans="1:8" x14ac:dyDescent="0.25">
      <c r="A1" s="3" t="s">
        <v>77</v>
      </c>
    </row>
    <row r="2" spans="1:8" x14ac:dyDescent="0.25">
      <c r="B2" s="3" t="s">
        <v>0</v>
      </c>
      <c r="C2" s="3" t="s">
        <v>1</v>
      </c>
      <c r="D2" s="3" t="s">
        <v>2</v>
      </c>
      <c r="E2" s="3" t="s">
        <v>66</v>
      </c>
      <c r="F2" s="3" t="s">
        <v>67</v>
      </c>
      <c r="G2" s="5" t="s">
        <v>68</v>
      </c>
      <c r="H2" s="3" t="s">
        <v>78</v>
      </c>
    </row>
    <row r="3" spans="1:8" x14ac:dyDescent="0.25">
      <c r="B3" s="1" t="s">
        <v>3</v>
      </c>
      <c r="C3" t="s">
        <v>51</v>
      </c>
      <c r="D3">
        <v>20160112003</v>
      </c>
      <c r="E3" s="2">
        <v>21500</v>
      </c>
      <c r="F3" s="4">
        <f>2*(42/(COS(15*0.0174533)))</f>
        <v>86.963201768920285</v>
      </c>
      <c r="G3" s="4">
        <f>E3/F3</f>
        <v>247.2310076292967</v>
      </c>
      <c r="H3" s="6">
        <f>AVERAGE(G3:G64)</f>
        <v>225.94807166977833</v>
      </c>
    </row>
    <row r="4" spans="1:8" x14ac:dyDescent="0.25">
      <c r="B4" s="1" t="s">
        <v>3</v>
      </c>
      <c r="C4" t="s">
        <v>10</v>
      </c>
      <c r="D4">
        <v>20160112009</v>
      </c>
      <c r="E4" s="2">
        <v>16250</v>
      </c>
      <c r="F4" s="4">
        <f>2*(34/(COS(3.5*0.0174533)))</f>
        <v>68.127070828908657</v>
      </c>
      <c r="G4" s="4">
        <f>E4/F4</f>
        <v>238.52485953505234</v>
      </c>
      <c r="H4" s="6"/>
    </row>
    <row r="5" spans="1:8" x14ac:dyDescent="0.25">
      <c r="B5" s="1" t="s">
        <v>3</v>
      </c>
      <c r="C5" t="s">
        <v>11</v>
      </c>
      <c r="D5">
        <v>20160112009</v>
      </c>
      <c r="E5" s="2">
        <v>21500</v>
      </c>
      <c r="F5" s="4">
        <f>2*(40/(COS(48.75*0.0174533)))</f>
        <v>121.33243501730641</v>
      </c>
      <c r="G5" s="4">
        <f>E5/F5</f>
        <v>177.19911412750696</v>
      </c>
      <c r="H5" s="6"/>
    </row>
    <row r="6" spans="1:8" x14ac:dyDescent="0.25">
      <c r="B6" s="1" t="s">
        <v>3</v>
      </c>
      <c r="C6" t="s">
        <v>14</v>
      </c>
      <c r="D6">
        <v>20160112009</v>
      </c>
      <c r="E6" s="2">
        <v>17250</v>
      </c>
      <c r="F6" s="4">
        <f>2*(30/(COS(41.5*0.0174533)))</f>
        <v>80.11156709652893</v>
      </c>
      <c r="G6" s="4">
        <f>E6/F6</f>
        <v>215.32471059035626</v>
      </c>
      <c r="H6" s="6"/>
    </row>
    <row r="7" spans="1:8" x14ac:dyDescent="0.25">
      <c r="B7" s="1" t="s">
        <v>3</v>
      </c>
      <c r="C7" t="s">
        <v>47</v>
      </c>
      <c r="D7">
        <v>20160112009</v>
      </c>
      <c r="E7" s="2">
        <v>16250</v>
      </c>
      <c r="F7" s="4">
        <f>2*(34/(COS(10.5*0.0174533)))</f>
        <v>69.158059081875166</v>
      </c>
      <c r="G7" s="4">
        <f>E7/F7</f>
        <v>234.96900022543829</v>
      </c>
      <c r="H7" s="6"/>
    </row>
    <row r="8" spans="1:8" x14ac:dyDescent="0.25">
      <c r="B8" s="1" t="s">
        <v>3</v>
      </c>
      <c r="C8" t="s">
        <v>38</v>
      </c>
      <c r="D8">
        <v>20160112009</v>
      </c>
      <c r="E8" s="2">
        <v>15500</v>
      </c>
      <c r="F8" s="4">
        <f>2*(32/(COS(3*0.0174533)))</f>
        <v>64.087830219236778</v>
      </c>
      <c r="G8" s="4">
        <f>E8/F8</f>
        <v>241.85559016394157</v>
      </c>
      <c r="H8" s="6"/>
    </row>
    <row r="9" spans="1:8" x14ac:dyDescent="0.25">
      <c r="B9" s="1" t="s">
        <v>3</v>
      </c>
      <c r="C9" t="s">
        <v>37</v>
      </c>
      <c r="D9">
        <v>20160112009</v>
      </c>
      <c r="E9" s="2">
        <v>27250</v>
      </c>
      <c r="F9" s="4">
        <f>(52.8/(COS(48.75*0.0174533)))+(49.1/(COS(48.75*0.0174533)))</f>
        <v>154.54718910329404</v>
      </c>
      <c r="G9" s="4">
        <f>E9/F9</f>
        <v>176.32155044752727</v>
      </c>
      <c r="H9" s="6"/>
    </row>
    <row r="10" spans="1:8" x14ac:dyDescent="0.25">
      <c r="B10" s="1" t="s">
        <v>3</v>
      </c>
      <c r="C10" t="s">
        <v>22</v>
      </c>
      <c r="D10">
        <v>20160112009</v>
      </c>
      <c r="E10" s="2">
        <v>16300</v>
      </c>
      <c r="F10" s="4">
        <f>2*(34/(COS(18*0.0174533)))</f>
        <v>71.49943437612572</v>
      </c>
      <c r="G10" s="4">
        <f>E10/F10</f>
        <v>227.97383143275201</v>
      </c>
      <c r="H10" s="6"/>
    </row>
    <row r="11" spans="1:8" x14ac:dyDescent="0.25">
      <c r="B11" s="1" t="s">
        <v>3</v>
      </c>
      <c r="C11" t="s">
        <v>19</v>
      </c>
      <c r="D11">
        <v>20160112009</v>
      </c>
      <c r="E11" s="2">
        <v>19250</v>
      </c>
      <c r="F11" s="4">
        <f>1*(40/(COS(34.5*0.0174533)))</f>
        <v>48.536265012191343</v>
      </c>
      <c r="G11" s="4">
        <f>E11/F11</f>
        <v>396.61065793102915</v>
      </c>
      <c r="H11" s="6"/>
    </row>
    <row r="12" spans="1:8" x14ac:dyDescent="0.25">
      <c r="B12" s="1" t="s">
        <v>3</v>
      </c>
      <c r="C12" t="s">
        <v>40</v>
      </c>
      <c r="D12">
        <v>20160112009</v>
      </c>
      <c r="E12" s="2">
        <v>12000</v>
      </c>
      <c r="F12" s="4">
        <f>1*(40/(COS(34.5*0.0174533)))</f>
        <v>48.536265012191343</v>
      </c>
      <c r="G12" s="4">
        <f>E12/F12</f>
        <v>247.23781273622598</v>
      </c>
      <c r="H12" s="6"/>
    </row>
    <row r="13" spans="1:8" x14ac:dyDescent="0.25">
      <c r="B13" s="1" t="s">
        <v>3</v>
      </c>
      <c r="C13" t="s">
        <v>46</v>
      </c>
      <c r="D13">
        <v>20160112009</v>
      </c>
      <c r="E13" s="2">
        <v>15750</v>
      </c>
      <c r="F13" s="4">
        <f>2*(30/(COS(3.5*0.0174533)))</f>
        <v>60.112121319625281</v>
      </c>
      <c r="G13" s="4">
        <f>E13/F13</f>
        <v>262.01038416619599</v>
      </c>
      <c r="H13" s="6"/>
    </row>
    <row r="14" spans="1:8" x14ac:dyDescent="0.25">
      <c r="B14" s="1" t="s">
        <v>3</v>
      </c>
      <c r="C14" t="s">
        <v>12</v>
      </c>
      <c r="D14">
        <v>20160112009</v>
      </c>
      <c r="E14" s="2">
        <v>15750</v>
      </c>
      <c r="F14" s="4">
        <f>2*(30/(COS(0*0.0174533)))</f>
        <v>60</v>
      </c>
      <c r="G14" s="4">
        <f>E14/F14</f>
        <v>262.5</v>
      </c>
      <c r="H14" s="6"/>
    </row>
    <row r="15" spans="1:8" x14ac:dyDescent="0.25">
      <c r="B15" s="1" t="s">
        <v>3</v>
      </c>
      <c r="C15" t="s">
        <v>31</v>
      </c>
      <c r="D15">
        <v>20160112010</v>
      </c>
      <c r="E15" s="2">
        <v>16000</v>
      </c>
      <c r="F15" s="4">
        <f>1*(38.33/(COS(9*0.0174533)))</f>
        <v>38.807788685243118</v>
      </c>
      <c r="G15" s="4">
        <f>E15/F15</f>
        <v>412.28837153723453</v>
      </c>
      <c r="H15" s="6"/>
    </row>
    <row r="16" spans="1:8" x14ac:dyDescent="0.25">
      <c r="B16" s="1" t="s">
        <v>3</v>
      </c>
      <c r="C16" t="s">
        <v>63</v>
      </c>
      <c r="D16">
        <v>20160112010</v>
      </c>
      <c r="E16" s="2">
        <v>16000</v>
      </c>
      <c r="F16" s="4">
        <f>1*(38.33/(COS(9*0.0174533)))</f>
        <v>38.807788685243118</v>
      </c>
      <c r="G16" s="4">
        <f>E16/F16</f>
        <v>412.28837153723453</v>
      </c>
      <c r="H16" s="6"/>
    </row>
    <row r="17" spans="2:8" x14ac:dyDescent="0.25">
      <c r="B17" s="1" t="s">
        <v>3</v>
      </c>
      <c r="C17" t="s">
        <v>8</v>
      </c>
      <c r="D17">
        <v>20160112012</v>
      </c>
      <c r="E17" s="2">
        <v>54000</v>
      </c>
      <c r="F17" s="4">
        <f>(48/(COS(0*0.0174533)))+(38/(COS(0*0.0174533)))</f>
        <v>86</v>
      </c>
      <c r="G17" s="4">
        <f>E17/F17</f>
        <v>627.90697674418607</v>
      </c>
      <c r="H17" s="6"/>
    </row>
    <row r="18" spans="2:8" x14ac:dyDescent="0.25">
      <c r="B18" s="1" t="s">
        <v>3</v>
      </c>
      <c r="C18" t="s">
        <v>62</v>
      </c>
      <c r="D18">
        <v>20160112017</v>
      </c>
      <c r="E18" s="2">
        <v>27000</v>
      </c>
      <c r="F18" s="4">
        <f>2*(48/(COS(0*0.0174533)))</f>
        <v>96</v>
      </c>
      <c r="G18" s="4">
        <f>E18/F18</f>
        <v>281.25</v>
      </c>
      <c r="H18" s="6"/>
    </row>
    <row r="19" spans="2:8" x14ac:dyDescent="0.25">
      <c r="B19" s="1" t="s">
        <v>3</v>
      </c>
      <c r="C19" t="s">
        <v>26</v>
      </c>
      <c r="D19">
        <v>20160112023</v>
      </c>
      <c r="E19" s="2">
        <v>18000</v>
      </c>
      <c r="F19" s="4">
        <f>2*(40/(COS(38.4*0.0174533)))</f>
        <v>102.08075295882658</v>
      </c>
      <c r="G19" s="4">
        <f>E19/F19</f>
        <v>176.33098775496052</v>
      </c>
      <c r="H19" s="6"/>
    </row>
    <row r="20" spans="2:8" x14ac:dyDescent="0.25">
      <c r="B20" s="1" t="s">
        <v>3</v>
      </c>
      <c r="C20" t="s">
        <v>64</v>
      </c>
      <c r="D20">
        <v>20160112023</v>
      </c>
      <c r="E20" s="2">
        <v>21500</v>
      </c>
      <c r="F20" s="4">
        <f>2*(50/(COS(38.4*0.0174533)))</f>
        <v>127.60094119853322</v>
      </c>
      <c r="G20" s="4">
        <f>E20/F20</f>
        <v>168.49405496585118</v>
      </c>
      <c r="H20" s="6"/>
    </row>
    <row r="21" spans="2:8" x14ac:dyDescent="0.25">
      <c r="B21" s="1" t="s">
        <v>3</v>
      </c>
      <c r="C21" t="s">
        <v>52</v>
      </c>
      <c r="D21">
        <v>20160209011</v>
      </c>
      <c r="E21" s="2">
        <v>16000</v>
      </c>
      <c r="F21" s="4">
        <f>1*(40/(COS(34.17*0.0174533)))</f>
        <v>48.345693551423231</v>
      </c>
      <c r="G21" s="4">
        <f>E21/F21</f>
        <v>330.94984940037085</v>
      </c>
      <c r="H21" s="6"/>
    </row>
    <row r="22" spans="2:8" x14ac:dyDescent="0.25">
      <c r="B22" s="1" t="s">
        <v>3</v>
      </c>
      <c r="C22" t="s">
        <v>54</v>
      </c>
      <c r="D22">
        <v>20160308027</v>
      </c>
      <c r="E22" s="2">
        <v>28000</v>
      </c>
      <c r="F22" s="4">
        <f>2*(50/(COS(42.75*0.0174533)))</f>
        <v>136.17998668775797</v>
      </c>
      <c r="G22" s="4">
        <f>E22/F22</f>
        <v>205.61024186468867</v>
      </c>
      <c r="H22" s="6"/>
    </row>
    <row r="23" spans="2:8" x14ac:dyDescent="0.25">
      <c r="B23" s="1" t="s">
        <v>3</v>
      </c>
      <c r="C23" t="s">
        <v>18</v>
      </c>
      <c r="D23">
        <v>20160510046</v>
      </c>
      <c r="E23" s="2">
        <v>19353.599999999999</v>
      </c>
      <c r="F23" s="4">
        <f>2*(62/(COS(0*0.0174533)))</f>
        <v>124</v>
      </c>
      <c r="G23" s="4">
        <f>E23/F23</f>
        <v>156.0774193548387</v>
      </c>
      <c r="H23" s="6"/>
    </row>
    <row r="24" spans="2:8" x14ac:dyDescent="0.25">
      <c r="B24" s="1" t="s">
        <v>3</v>
      </c>
      <c r="C24" t="s">
        <v>57</v>
      </c>
      <c r="D24">
        <v>20160510046</v>
      </c>
      <c r="E24" s="2">
        <v>21350</v>
      </c>
      <c r="F24" s="4">
        <f>2*(62/(COS(27*0.0174533)))</f>
        <v>139.16846778773072</v>
      </c>
      <c r="G24" s="4">
        <f>E24/F24</f>
        <v>153.41118817636539</v>
      </c>
      <c r="H24" s="6"/>
    </row>
    <row r="25" spans="2:8" x14ac:dyDescent="0.25">
      <c r="B25" s="1" t="s">
        <v>3</v>
      </c>
      <c r="C25" t="s">
        <v>44</v>
      </c>
      <c r="D25">
        <v>20160510058</v>
      </c>
      <c r="E25" s="2">
        <v>16000</v>
      </c>
      <c r="F25" s="4">
        <f>1*(68/(COS(41.4*0.0174533)))</f>
        <v>90.65326632028696</v>
      </c>
      <c r="G25" s="4">
        <f>E25/F25</f>
        <v>176.49667407978899</v>
      </c>
      <c r="H25" s="6"/>
    </row>
    <row r="26" spans="2:8" x14ac:dyDescent="0.25">
      <c r="B26" s="1" t="s">
        <v>3</v>
      </c>
      <c r="C26" t="s">
        <v>4</v>
      </c>
      <c r="D26">
        <v>20160510058</v>
      </c>
      <c r="E26" s="2">
        <v>16000</v>
      </c>
      <c r="F26" s="4">
        <f>2*(68/(COS(41.4*0.0174533)))</f>
        <v>181.30653264057392</v>
      </c>
      <c r="G26" s="4">
        <f>E26/F26</f>
        <v>88.248337039894494</v>
      </c>
      <c r="H26" s="6"/>
    </row>
    <row r="27" spans="2:8" x14ac:dyDescent="0.25">
      <c r="B27" s="1" t="s">
        <v>3</v>
      </c>
      <c r="C27" t="s">
        <v>6</v>
      </c>
      <c r="D27">
        <v>20160712001</v>
      </c>
      <c r="E27" s="2">
        <v>20000</v>
      </c>
      <c r="F27" s="4">
        <f>(27/(COS(50.375*0.0174533)))+(27/(COS(0*0.0174533)))</f>
        <v>69.33568557242819</v>
      </c>
      <c r="G27" s="4">
        <f>E27/F27</f>
        <v>288.4517522958356</v>
      </c>
      <c r="H27" s="6"/>
    </row>
    <row r="28" spans="2:8" x14ac:dyDescent="0.25">
      <c r="B28" s="1" t="s">
        <v>3</v>
      </c>
      <c r="C28" t="s">
        <v>15</v>
      </c>
      <c r="D28">
        <v>20160712001</v>
      </c>
      <c r="E28" s="2">
        <v>10000</v>
      </c>
      <c r="F28" s="4">
        <f>(40/(COS(23*0.0174533)))</f>
        <v>43.454418269567029</v>
      </c>
      <c r="G28" s="4">
        <f>E28/F28</f>
        <v>230.12619655763345</v>
      </c>
      <c r="H28" s="6"/>
    </row>
    <row r="29" spans="2:8" x14ac:dyDescent="0.25">
      <c r="B29" s="1" t="s">
        <v>3</v>
      </c>
      <c r="C29" t="s">
        <v>49</v>
      </c>
      <c r="D29">
        <v>20160712002</v>
      </c>
      <c r="E29" s="2">
        <v>21000</v>
      </c>
      <c r="F29" s="4">
        <f>2*(56/(COS(34.2*0.0174533)))</f>
        <v>135.4160924041247</v>
      </c>
      <c r="G29" s="4">
        <f>E29/F29</f>
        <v>155.07758071566059</v>
      </c>
      <c r="H29" s="6"/>
    </row>
    <row r="30" spans="2:8" x14ac:dyDescent="0.25">
      <c r="B30" s="1" t="s">
        <v>3</v>
      </c>
      <c r="C30" t="s">
        <v>33</v>
      </c>
      <c r="D30">
        <v>20160712002</v>
      </c>
      <c r="E30" s="2">
        <v>21000</v>
      </c>
      <c r="F30" s="4">
        <f>2*(56/(COS(34.2*0.0174533)))</f>
        <v>135.4160924041247</v>
      </c>
      <c r="G30" s="4">
        <f>E30/F30</f>
        <v>155.07758071566059</v>
      </c>
      <c r="H30" s="6"/>
    </row>
    <row r="31" spans="2:8" x14ac:dyDescent="0.25">
      <c r="B31" s="1" t="s">
        <v>3</v>
      </c>
      <c r="C31" t="s">
        <v>65</v>
      </c>
      <c r="D31">
        <v>20160712002</v>
      </c>
      <c r="E31" s="2">
        <v>21000</v>
      </c>
      <c r="F31" s="4">
        <f>2*(56/(COS(43*0.0174533)))</f>
        <v>153.14072157553133</v>
      </c>
      <c r="G31" s="4">
        <f>E31/F31</f>
        <v>137.12877792365944</v>
      </c>
      <c r="H31" s="6"/>
    </row>
    <row r="32" spans="2:8" x14ac:dyDescent="0.25">
      <c r="B32" s="1" t="s">
        <v>3</v>
      </c>
      <c r="C32" t="s">
        <v>39</v>
      </c>
      <c r="D32">
        <v>20160712002</v>
      </c>
      <c r="E32" s="2">
        <v>21000</v>
      </c>
      <c r="F32" s="4">
        <f>2*(56/(COS(43*0.0174533)))</f>
        <v>153.14072157553133</v>
      </c>
      <c r="G32" s="4">
        <f>E32/F32</f>
        <v>137.12877792365944</v>
      </c>
      <c r="H32" s="6"/>
    </row>
    <row r="33" spans="2:8" x14ac:dyDescent="0.25">
      <c r="B33" s="1" t="s">
        <v>3</v>
      </c>
      <c r="C33" t="s">
        <v>60</v>
      </c>
      <c r="D33">
        <v>20160712002</v>
      </c>
      <c r="E33" s="2">
        <v>17500</v>
      </c>
      <c r="F33" s="4">
        <f>2*(31/(COS(37.5*0.0174533)))</f>
        <v>78.149306489250179</v>
      </c>
      <c r="G33" s="4">
        <f>E33/F33</f>
        <v>223.93033010993145</v>
      </c>
      <c r="H33" s="6"/>
    </row>
    <row r="34" spans="2:8" x14ac:dyDescent="0.25">
      <c r="B34" s="1" t="s">
        <v>3</v>
      </c>
      <c r="C34" t="s">
        <v>23</v>
      </c>
      <c r="D34">
        <v>20160712017</v>
      </c>
      <c r="E34" s="2">
        <v>17000</v>
      </c>
      <c r="F34" s="4">
        <f>2*(40/(COS(20*0.0174533)))</f>
        <v>85.134226433663187</v>
      </c>
      <c r="G34" s="4">
        <f>E34/F34</f>
        <v>199.68467104410053</v>
      </c>
      <c r="H34" s="6"/>
    </row>
    <row r="35" spans="2:8" x14ac:dyDescent="0.25">
      <c r="B35" s="1" t="s">
        <v>3</v>
      </c>
      <c r="C35" t="s">
        <v>27</v>
      </c>
      <c r="D35">
        <v>20161108002</v>
      </c>
      <c r="E35" s="2">
        <v>45000</v>
      </c>
      <c r="F35" s="4">
        <f>2*35</f>
        <v>70</v>
      </c>
      <c r="G35" s="4">
        <f>E35/F35</f>
        <v>642.85714285714289</v>
      </c>
      <c r="H35" s="6"/>
    </row>
    <row r="36" spans="2:8" x14ac:dyDescent="0.25">
      <c r="B36" s="1" t="s">
        <v>3</v>
      </c>
      <c r="C36" t="s">
        <v>25</v>
      </c>
      <c r="D36">
        <v>20161108002</v>
      </c>
      <c r="E36" s="2">
        <v>45000</v>
      </c>
      <c r="F36" s="4">
        <f>5*(24/(COS(33.33*0.0174533)))</f>
        <v>143.62319441265197</v>
      </c>
      <c r="G36" s="4">
        <f>E36/F36</f>
        <v>313.31986580599187</v>
      </c>
      <c r="H36" s="6"/>
    </row>
    <row r="37" spans="2:8" x14ac:dyDescent="0.25">
      <c r="B37" s="1" t="s">
        <v>3</v>
      </c>
      <c r="C37" t="s">
        <v>61</v>
      </c>
      <c r="D37">
        <v>20161108003</v>
      </c>
      <c r="E37" s="2">
        <v>20000</v>
      </c>
      <c r="F37" s="4">
        <f>2*(40/(COS(37*0.0174533)))</f>
        <v>100.17087354365846</v>
      </c>
      <c r="G37" s="4">
        <f>E37/F37</f>
        <v>199.65883587191843</v>
      </c>
      <c r="H37" s="6"/>
    </row>
    <row r="38" spans="2:8" x14ac:dyDescent="0.25">
      <c r="B38" s="1" t="s">
        <v>3</v>
      </c>
      <c r="C38" t="s">
        <v>55</v>
      </c>
      <c r="D38">
        <v>20161108003</v>
      </c>
      <c r="E38" s="2">
        <v>20000</v>
      </c>
      <c r="F38" s="4">
        <f>2*(40/(COS(37*0.0174533)))</f>
        <v>100.17087354365846</v>
      </c>
      <c r="G38" s="4">
        <f>E38/F38</f>
        <v>199.65883587191843</v>
      </c>
      <c r="H38" s="6"/>
    </row>
    <row r="39" spans="2:8" x14ac:dyDescent="0.25">
      <c r="B39" s="1" t="s">
        <v>3</v>
      </c>
      <c r="C39" t="s">
        <v>56</v>
      </c>
      <c r="D39">
        <v>20161108003</v>
      </c>
      <c r="E39" s="2">
        <v>20000</v>
      </c>
      <c r="F39" s="4">
        <f>2*(40/(COS(40*0.0174533)))</f>
        <v>104.43260936549144</v>
      </c>
      <c r="G39" s="4">
        <f>E39/F39</f>
        <v>191.51106269885821</v>
      </c>
      <c r="H39" s="6"/>
    </row>
    <row r="40" spans="2:8" x14ac:dyDescent="0.25">
      <c r="B40" s="1" t="s">
        <v>3</v>
      </c>
      <c r="C40" t="s">
        <v>43</v>
      </c>
      <c r="D40">
        <v>20161108003</v>
      </c>
      <c r="E40" s="2">
        <v>20000</v>
      </c>
      <c r="F40" s="4">
        <f>2*(40/(COS(40*0.0174533)))</f>
        <v>104.43260936549144</v>
      </c>
      <c r="G40" s="4">
        <f>E40/F40</f>
        <v>191.51106269885821</v>
      </c>
      <c r="H40" s="6"/>
    </row>
    <row r="41" spans="2:8" x14ac:dyDescent="0.25">
      <c r="B41" s="1" t="s">
        <v>3</v>
      </c>
      <c r="C41" t="s">
        <v>58</v>
      </c>
      <c r="D41">
        <v>20161108003</v>
      </c>
      <c r="E41" s="2">
        <v>20000</v>
      </c>
      <c r="F41" s="4">
        <f>2*(40/(COS(26.2*0.0174533)))</f>
        <v>89.160503171087228</v>
      </c>
      <c r="G41" s="4">
        <f>E41/F41</f>
        <v>224.3145707872761</v>
      </c>
      <c r="H41" s="6"/>
    </row>
    <row r="42" spans="2:8" x14ac:dyDescent="0.25">
      <c r="B42" s="1" t="s">
        <v>3</v>
      </c>
      <c r="C42" t="s">
        <v>41</v>
      </c>
      <c r="D42">
        <v>20161108003</v>
      </c>
      <c r="E42" s="2">
        <v>20000</v>
      </c>
      <c r="F42" s="4">
        <f>2*(40/(COS(26.2*0.0174533)))</f>
        <v>89.160503171087228</v>
      </c>
      <c r="G42" s="4">
        <f>E42/F42</f>
        <v>224.3145707872761</v>
      </c>
      <c r="H42" s="6"/>
    </row>
    <row r="43" spans="2:8" x14ac:dyDescent="0.25">
      <c r="B43" s="1" t="s">
        <v>3</v>
      </c>
      <c r="C43" t="s">
        <v>34</v>
      </c>
      <c r="D43">
        <v>20161108003</v>
      </c>
      <c r="E43" s="2">
        <v>20000</v>
      </c>
      <c r="F43" s="4">
        <f>2*(40/(COS(30*0.0174533)))</f>
        <v>92.376055038434728</v>
      </c>
      <c r="G43" s="4">
        <f>E43/F43</f>
        <v>216.50632289589157</v>
      </c>
      <c r="H43" s="6"/>
    </row>
    <row r="44" spans="2:8" x14ac:dyDescent="0.25">
      <c r="B44" s="1" t="s">
        <v>3</v>
      </c>
      <c r="C44" t="s">
        <v>16</v>
      </c>
      <c r="D44">
        <v>20161108003</v>
      </c>
      <c r="E44" s="2">
        <v>20000</v>
      </c>
      <c r="F44" s="4">
        <f>2*(40/(COS(30*0.0174533)))</f>
        <v>92.376055038434728</v>
      </c>
      <c r="G44" s="4">
        <f>E44/F44</f>
        <v>216.50632289589157</v>
      </c>
      <c r="H44" s="6"/>
    </row>
    <row r="45" spans="2:8" x14ac:dyDescent="0.25">
      <c r="B45" s="1" t="s">
        <v>3</v>
      </c>
      <c r="C45" t="s">
        <v>24</v>
      </c>
      <c r="D45">
        <v>20161108007</v>
      </c>
      <c r="E45" s="2">
        <v>30000</v>
      </c>
      <c r="F45" s="4">
        <f>2*(78/(COS(37.5*0.0174533)))</f>
        <v>196.63373890843593</v>
      </c>
      <c r="G45" s="4">
        <f>E45/F45</f>
        <v>152.56791721775548</v>
      </c>
      <c r="H45" s="6"/>
    </row>
    <row r="46" spans="2:8" x14ac:dyDescent="0.25">
      <c r="B46" s="1" t="s">
        <v>3</v>
      </c>
      <c r="C46" t="s">
        <v>50</v>
      </c>
      <c r="D46">
        <v>20161108029</v>
      </c>
      <c r="E46" s="2">
        <v>9500</v>
      </c>
      <c r="F46" s="4">
        <f>2*(27/(COS(0*0.0174533)))</f>
        <v>54</v>
      </c>
      <c r="G46" s="4">
        <f>E46/F46</f>
        <v>175.92592592592592</v>
      </c>
      <c r="H46" s="6"/>
    </row>
    <row r="47" spans="2:8" x14ac:dyDescent="0.25">
      <c r="B47" s="1" t="s">
        <v>3</v>
      </c>
      <c r="C47" t="s">
        <v>28</v>
      </c>
      <c r="D47">
        <v>20161108029</v>
      </c>
      <c r="E47" s="2">
        <v>9500</v>
      </c>
      <c r="F47" s="4">
        <f>2*(27/(COS(0*0.0174533)))</f>
        <v>54</v>
      </c>
      <c r="G47" s="4">
        <f>E47/F47</f>
        <v>175.92592592592592</v>
      </c>
      <c r="H47" s="6"/>
    </row>
    <row r="48" spans="2:8" x14ac:dyDescent="0.25">
      <c r="B48" s="1" t="s">
        <v>3</v>
      </c>
      <c r="C48" t="s">
        <v>53</v>
      </c>
      <c r="D48">
        <v>20161108029</v>
      </c>
      <c r="E48" s="2">
        <v>10000</v>
      </c>
      <c r="F48" s="4">
        <f>2*(27/(COS(16*0.0174533)))</f>
        <v>56.176171464377845</v>
      </c>
      <c r="G48" s="4">
        <f>E48/F48</f>
        <v>178.01141906477466</v>
      </c>
      <c r="H48" s="6"/>
    </row>
    <row r="49" spans="2:8" x14ac:dyDescent="0.25">
      <c r="B49" s="1" t="s">
        <v>3</v>
      </c>
      <c r="C49" t="s">
        <v>45</v>
      </c>
      <c r="D49">
        <v>20161213002</v>
      </c>
      <c r="E49" s="2">
        <v>15100</v>
      </c>
      <c r="F49" s="4">
        <f>2*(33/(COS(42*0.0174533)))</f>
        <v>88.811785276488365</v>
      </c>
      <c r="G49" s="4">
        <f>E49/F49</f>
        <v>170.02248015835693</v>
      </c>
      <c r="H49" s="6"/>
    </row>
    <row r="50" spans="2:8" x14ac:dyDescent="0.25">
      <c r="B50" s="1" t="s">
        <v>3</v>
      </c>
      <c r="C50" t="s">
        <v>21</v>
      </c>
      <c r="D50">
        <v>20161213017</v>
      </c>
      <c r="E50" s="2">
        <v>7500</v>
      </c>
      <c r="F50" s="4">
        <f>1*(40/(COS(27.33*0.0174533)))</f>
        <v>45.025935964086337</v>
      </c>
      <c r="G50" s="4">
        <f>E50/F50</f>
        <v>166.57066287266437</v>
      </c>
      <c r="H50" s="6"/>
    </row>
    <row r="51" spans="2:8" x14ac:dyDescent="0.25">
      <c r="B51" s="1" t="s">
        <v>3</v>
      </c>
      <c r="C51" t="s">
        <v>48</v>
      </c>
      <c r="D51">
        <v>20161213017</v>
      </c>
      <c r="E51" s="2">
        <v>7500</v>
      </c>
      <c r="F51" s="4">
        <f>1*(40/(COS(27.33*0.0174533)))</f>
        <v>45.025935964086337</v>
      </c>
      <c r="G51" s="4">
        <f>E51/F51</f>
        <v>166.57066287266437</v>
      </c>
      <c r="H51" s="6"/>
    </row>
    <row r="52" spans="2:8" x14ac:dyDescent="0.25">
      <c r="B52" s="1" t="s">
        <v>3</v>
      </c>
      <c r="C52" t="s">
        <v>9</v>
      </c>
      <c r="D52">
        <v>20161213017</v>
      </c>
      <c r="E52" s="2">
        <v>14000</v>
      </c>
      <c r="F52" s="4">
        <f>2*(36/(COS(7.33*0.0174533)))</f>
        <v>72.593248815963861</v>
      </c>
      <c r="G52" s="4">
        <f>E52/F52</f>
        <v>192.85539948063715</v>
      </c>
      <c r="H52" s="6"/>
    </row>
    <row r="53" spans="2:8" x14ac:dyDescent="0.25">
      <c r="B53" s="1" t="s">
        <v>3</v>
      </c>
      <c r="C53" t="s">
        <v>32</v>
      </c>
      <c r="D53">
        <v>20161213017</v>
      </c>
      <c r="E53" s="2">
        <v>12500</v>
      </c>
      <c r="F53" s="4">
        <f>2*(34/(COS(30.5*0.0174533)))</f>
        <v>78.92027366319472</v>
      </c>
      <c r="G53" s="4">
        <f>E53/F53</f>
        <v>158.38769203140134</v>
      </c>
      <c r="H53" s="6"/>
    </row>
    <row r="54" spans="2:8" x14ac:dyDescent="0.25">
      <c r="B54" s="1" t="s">
        <v>3</v>
      </c>
      <c r="C54" t="s">
        <v>5</v>
      </c>
      <c r="D54">
        <v>20161213017</v>
      </c>
      <c r="E54" s="2">
        <v>25000</v>
      </c>
      <c r="F54" s="4">
        <f>2*(40/(COS(59*0.0174533)))</f>
        <v>155.32843619931057</v>
      </c>
      <c r="G54" s="4">
        <f>E54/F54</f>
        <v>160.9492801943947</v>
      </c>
      <c r="H54" s="6"/>
    </row>
    <row r="55" spans="2:8" x14ac:dyDescent="0.25">
      <c r="B55" s="1" t="s">
        <v>3</v>
      </c>
      <c r="C55" t="s">
        <v>20</v>
      </c>
      <c r="D55">
        <v>20161213017</v>
      </c>
      <c r="E55" s="2">
        <v>25000</v>
      </c>
      <c r="F55" s="4">
        <f>2*(40/(COS(59*0.0174533)))</f>
        <v>155.32843619931057</v>
      </c>
      <c r="G55" s="4">
        <f>E55/F55</f>
        <v>160.9492801943947</v>
      </c>
      <c r="H55" s="6"/>
    </row>
    <row r="56" spans="2:8" x14ac:dyDescent="0.25">
      <c r="B56" s="1" t="s">
        <v>3</v>
      </c>
      <c r="C56" t="s">
        <v>13</v>
      </c>
      <c r="D56">
        <v>20161213017</v>
      </c>
      <c r="E56" s="2">
        <v>8000</v>
      </c>
      <c r="F56" s="4">
        <f>1*(40/(COS(37.67*0.0174533)))</f>
        <v>50.534181220455878</v>
      </c>
      <c r="G56" s="4">
        <f>E56/F56</f>
        <v>158.30868942152082</v>
      </c>
      <c r="H56" s="6"/>
    </row>
    <row r="57" spans="2:8" x14ac:dyDescent="0.25">
      <c r="B57" s="1" t="s">
        <v>3</v>
      </c>
      <c r="C57" t="s">
        <v>42</v>
      </c>
      <c r="D57">
        <v>20161213017</v>
      </c>
      <c r="E57" s="2">
        <v>8000</v>
      </c>
      <c r="F57" s="4">
        <f>1*(40/(COS(36*0.0174533)))</f>
        <v>49.442728773208884</v>
      </c>
      <c r="G57" s="4">
        <f>E57/F57</f>
        <v>161.80336721898109</v>
      </c>
      <c r="H57" s="6"/>
    </row>
    <row r="58" spans="2:8" x14ac:dyDescent="0.25">
      <c r="B58" s="1" t="s">
        <v>3</v>
      </c>
      <c r="C58" t="s">
        <v>29</v>
      </c>
      <c r="D58">
        <v>20161213017</v>
      </c>
      <c r="E58" s="2">
        <v>11000</v>
      </c>
      <c r="F58" s="4">
        <f>2*(30/(COS(27*0.0174533)))</f>
        <v>67.339581187611643</v>
      </c>
      <c r="G58" s="4">
        <f>E58/F58</f>
        <v>163.35117929161777</v>
      </c>
      <c r="H58" s="6"/>
    </row>
    <row r="59" spans="2:8" x14ac:dyDescent="0.25">
      <c r="B59" s="1" t="s">
        <v>3</v>
      </c>
      <c r="C59" t="s">
        <v>36</v>
      </c>
      <c r="D59">
        <v>20161213017</v>
      </c>
      <c r="E59" s="2">
        <v>23000</v>
      </c>
      <c r="F59" s="4">
        <f>2*(68/(COS(25*0.0174533)))</f>
        <v>150.05941006411103</v>
      </c>
      <c r="G59" s="4">
        <f>E59/F59</f>
        <v>153.27262708932105</v>
      </c>
      <c r="H59" s="6"/>
    </row>
    <row r="60" spans="2:8" x14ac:dyDescent="0.25">
      <c r="B60" s="1" t="s">
        <v>3</v>
      </c>
      <c r="C60" t="s">
        <v>30</v>
      </c>
      <c r="D60">
        <v>20161213018</v>
      </c>
      <c r="E60" s="2">
        <v>15000</v>
      </c>
      <c r="F60" s="4">
        <f>2*(30/(COS(11*0.0174533)))</f>
        <v>61.123002674898053</v>
      </c>
      <c r="G60" s="4">
        <f>E60/F60</f>
        <v>245.40679193694436</v>
      </c>
      <c r="H60" s="6"/>
    </row>
    <row r="61" spans="2:8" x14ac:dyDescent="0.25">
      <c r="B61" s="1" t="s">
        <v>3</v>
      </c>
      <c r="C61" t="s">
        <v>17</v>
      </c>
      <c r="D61">
        <v>20161213018</v>
      </c>
      <c r="E61" s="2">
        <v>15000</v>
      </c>
      <c r="F61" s="4">
        <f>1*(40/(COS(31.5*0.0174533)))</f>
        <v>46.913114638309516</v>
      </c>
      <c r="G61" s="4">
        <f>E61/F61</f>
        <v>319.7400154657588</v>
      </c>
      <c r="H61" s="6"/>
    </row>
    <row r="62" spans="2:8" x14ac:dyDescent="0.25">
      <c r="B62" s="1" t="s">
        <v>3</v>
      </c>
      <c r="C62" t="s">
        <v>7</v>
      </c>
      <c r="D62">
        <v>20161213018</v>
      </c>
      <c r="E62" s="2">
        <v>15000</v>
      </c>
      <c r="F62" s="4">
        <f>1*(40/(COS(31.5*0.0174533)))</f>
        <v>46.913114638309516</v>
      </c>
      <c r="G62" s="4">
        <f>E62/F62</f>
        <v>319.7400154657588</v>
      </c>
      <c r="H62" s="6"/>
    </row>
    <row r="63" spans="2:8" x14ac:dyDescent="0.25">
      <c r="B63" s="1" t="s">
        <v>3</v>
      </c>
      <c r="C63" t="s">
        <v>59</v>
      </c>
      <c r="D63">
        <v>20161213021</v>
      </c>
      <c r="E63" s="2">
        <v>16000</v>
      </c>
      <c r="F63" s="4">
        <f>(27/(COS(61.62*0.0174533)))+(27/(COS(23.37*0.0174533)))</f>
        <v>86.217199650163423</v>
      </c>
      <c r="G63" s="4">
        <f>E63/F63</f>
        <v>185.57782049198894</v>
      </c>
      <c r="H63" s="6"/>
    </row>
    <row r="64" spans="2:8" x14ac:dyDescent="0.25">
      <c r="B64" s="1" t="s">
        <v>3</v>
      </c>
      <c r="C64" t="s">
        <v>35</v>
      </c>
      <c r="D64">
        <v>20161213021</v>
      </c>
      <c r="E64" s="2">
        <v>10000</v>
      </c>
      <c r="F64" s="4">
        <f>(27/(COS(19.5*0.0174533)))+(27/(COS(7.5*0.0174533)))</f>
        <v>55.875898505063233</v>
      </c>
      <c r="G64" s="4">
        <f>E64/F64</f>
        <v>178.96803930757093</v>
      </c>
      <c r="H64" s="6"/>
    </row>
    <row r="65" spans="2:8" x14ac:dyDescent="0.25">
      <c r="B65" t="s">
        <v>69</v>
      </c>
      <c r="C65" t="s">
        <v>71</v>
      </c>
      <c r="D65">
        <v>20160112018</v>
      </c>
      <c r="E65" s="2">
        <v>100000</v>
      </c>
      <c r="F65" s="4">
        <f>2*60</f>
        <v>120</v>
      </c>
      <c r="G65" s="4">
        <f>E65/F65</f>
        <v>833.33333333333337</v>
      </c>
      <c r="H65" s="6">
        <f>AVERAGE(G65:G71)</f>
        <v>1572.6782970780046</v>
      </c>
    </row>
    <row r="66" spans="2:8" x14ac:dyDescent="0.25">
      <c r="B66" t="s">
        <v>69</v>
      </c>
      <c r="C66" t="s">
        <v>75</v>
      </c>
      <c r="D66">
        <v>20160112018</v>
      </c>
      <c r="E66" s="2">
        <v>100000</v>
      </c>
      <c r="F66" s="4">
        <f>2*60</f>
        <v>120</v>
      </c>
      <c r="G66" s="4">
        <f>E66/F66</f>
        <v>833.33333333333337</v>
      </c>
      <c r="H66" s="6"/>
    </row>
    <row r="67" spans="2:8" x14ac:dyDescent="0.25">
      <c r="B67" t="s">
        <v>69</v>
      </c>
      <c r="C67" t="s">
        <v>70</v>
      </c>
      <c r="D67">
        <v>20160712001</v>
      </c>
      <c r="E67" s="2">
        <v>600000</v>
      </c>
      <c r="F67" s="4">
        <f>(93/(COS(0*0.0174533)))+(77.75/(COS(0*0.0174533)))+(66/(COS(0*0.0174533)))+(66/(COS(0*0.0174533)))+(66/(COS(0*0.0174533)))+(66/(COS(0*0.0174533)))+(72/(COS(0*0.0174533)))</f>
        <v>506.75</v>
      </c>
      <c r="G67" s="4">
        <f>E67/F67</f>
        <v>1184.0157868771585</v>
      </c>
      <c r="H67" s="6"/>
    </row>
    <row r="68" spans="2:8" x14ac:dyDescent="0.25">
      <c r="B68" t="s">
        <v>69</v>
      </c>
      <c r="C68" t="s">
        <v>73</v>
      </c>
      <c r="D68">
        <v>20160712001</v>
      </c>
      <c r="E68" s="2">
        <v>80000</v>
      </c>
      <c r="F68" s="4">
        <f>(40/(COS(18*0.0174533)))+(40/(COS(10*0.0174533)))</f>
        <v>82.675555820628659</v>
      </c>
      <c r="G68" s="4">
        <f>E68/F68</f>
        <v>967.63788529667102</v>
      </c>
      <c r="H68" s="6"/>
    </row>
    <row r="69" spans="2:8" x14ac:dyDescent="0.25">
      <c r="B69" t="s">
        <v>69</v>
      </c>
      <c r="C69" t="s">
        <v>76</v>
      </c>
      <c r="D69">
        <v>20160712001</v>
      </c>
      <c r="E69" s="2">
        <v>275000</v>
      </c>
      <c r="F69" s="4">
        <f>(42/(COS(0*0.0174533)))+(42/(COS(0*0.0174533)))+(42/(COS(0*0.0174533)))</f>
        <v>126</v>
      </c>
      <c r="G69" s="4">
        <f>E69/F69</f>
        <v>2182.5396825396824</v>
      </c>
      <c r="H69" s="6"/>
    </row>
    <row r="70" spans="2:8" x14ac:dyDescent="0.25">
      <c r="B70" t="s">
        <v>69</v>
      </c>
      <c r="C70" t="s">
        <v>72</v>
      </c>
      <c r="D70">
        <v>20161213043</v>
      </c>
      <c r="E70" s="2">
        <v>140000</v>
      </c>
      <c r="F70" s="4">
        <f>53+(4.5/12)</f>
        <v>53.375</v>
      </c>
      <c r="G70" s="4">
        <f>E70/F70</f>
        <v>2622.9508196721313</v>
      </c>
      <c r="H70" s="6"/>
    </row>
    <row r="71" spans="2:8" x14ac:dyDescent="0.25">
      <c r="B71" t="s">
        <v>69</v>
      </c>
      <c r="C71" t="s">
        <v>74</v>
      </c>
      <c r="D71">
        <v>20161213043</v>
      </c>
      <c r="E71" s="2">
        <v>95000</v>
      </c>
      <c r="F71" s="4">
        <f>39+(10/12)</f>
        <v>39.833333333333336</v>
      </c>
      <c r="G71" s="4">
        <f>E71/F71</f>
        <v>2384.9372384937237</v>
      </c>
      <c r="H71" s="6"/>
    </row>
  </sheetData>
  <autoFilter ref="A2:H71"/>
  <mergeCells count="2">
    <mergeCell ref="H3:H64"/>
    <mergeCell ref="H65:H7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3492B0-A349-4102-A660-D9EA3611BFCA}"/>
</file>

<file path=customXml/itemProps2.xml><?xml version="1.0" encoding="utf-8"?>
<ds:datastoreItem xmlns:ds="http://schemas.openxmlformats.org/officeDocument/2006/customXml" ds:itemID="{7676F024-142F-4CA4-9739-620927F07977}"/>
</file>

<file path=customXml/itemProps3.xml><?xml version="1.0" encoding="utf-8"?>
<ds:datastoreItem xmlns:ds="http://schemas.openxmlformats.org/officeDocument/2006/customXml" ds:itemID="{E2EAB801-4D68-4396-A3F7-DAB2D38DD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dota3b</dc:creator>
  <cp:lastModifiedBy>dota3b</cp:lastModifiedBy>
  <dcterms:created xsi:type="dcterms:W3CDTF">2017-07-10T12:29:36Z</dcterms:created>
  <dcterms:modified xsi:type="dcterms:W3CDTF">2017-07-10T17:45:10Z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