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omments7.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N:\BMS\formsadm\FormsDT\DT2221\"/>
    </mc:Choice>
  </mc:AlternateContent>
  <xr:revisionPtr revIDLastSave="0" documentId="13_ncr:1_{DBDFE2A4-80F2-49D8-BFEA-4F874F445DFA}" xr6:coauthVersionLast="46" xr6:coauthVersionMax="46" xr10:uidLastSave="{00000000-0000-0000-0000-000000000000}"/>
  <bookViews>
    <workbookView xWindow="-120" yWindow="-120" windowWidth="29040" windowHeight="15840" tabRatio="666" xr2:uid="{290CD17C-F6C8-439E-9CBB-B1CA8AA23709}"/>
  </bookViews>
  <sheets>
    <sheet name="Directions" sheetId="8" r:id="rId1"/>
    <sheet name="Printing Directions" sheetId="13" r:id="rId2"/>
    <sheet name="1 Certification" sheetId="9" r:id="rId3"/>
    <sheet name="2 Aggregate System" sheetId="1" r:id="rId4"/>
    <sheet name="3 Paste Quality" sheetId="2" r:id="rId5"/>
    <sheet name="4 Mix Design" sheetId="3" r:id="rId6"/>
    <sheet name="5 Unit Wt_Voids in Agg" sheetId="10" r:id="rId7"/>
    <sheet name="Optimize Tool" sheetId="12" r:id="rId8"/>
    <sheet name="Data_Charts" sheetId="6" r:id="rId9"/>
    <sheet name="6 Agg Analysis" sheetId="4" state="hidden" r:id="rId10"/>
    <sheet name="7 Calculation Check" sheetId="11" state="hidden" r:id="rId11"/>
  </sheets>
  <definedNames>
    <definedName name="_xlnm.Print_Area" localSheetId="2">'1 Certification'!$A$1:$J$138</definedName>
    <definedName name="_xlnm.Print_Area" localSheetId="3">'2 Aggregate System'!$A$1:$L$41</definedName>
    <definedName name="_xlnm.Print_Area" localSheetId="4">'3 Paste Quality'!$A$1:$I$53</definedName>
    <definedName name="_xlnm.Print_Area" localSheetId="5">'4 Mix Design'!$A$1:$Q$58</definedName>
    <definedName name="_xlnm.Print_Area" localSheetId="8">Data_Charts!$A$1:$L$64</definedName>
    <definedName name="_xlnm.Print_Area" localSheetId="0">Directions!$A$1:$P$141</definedName>
    <definedName name="_xlnm.Print_Area" localSheetId="7">'Optimize Tool'!$A$1:$O$58</definedName>
    <definedName name="_xlnm.Print_Area" localSheetId="1">'Printing Directions'!$A$1:$P$56</definedName>
    <definedName name="solver_adj" localSheetId="3" hidden="1">'2 Aggregate System'!#REF!,'2 Aggregate System'!#REF!,'2 Aggregate System'!$G$24,'2 Aggregate System'!#REF!,'2 Aggregate System'!#REF!</definedName>
    <definedName name="solver_adj" localSheetId="5" hidden="1">'4 Mix Design'!$D$14,'4 Mix Design'!$D$15,'4 Mix Design'!$D$17</definedName>
    <definedName name="solver_adj" localSheetId="7" hidden="1">'Optimize Tool'!$D$7,'Optimize Tool'!$D$8,'Optimize Tool'!$D$10,'Optimize Tool'!$D$12</definedName>
    <definedName name="solver_cvg" localSheetId="3" hidden="1">0.0001</definedName>
    <definedName name="solver_cvg" localSheetId="5" hidden="1">0.0001</definedName>
    <definedName name="solver_cvg" localSheetId="7" hidden="1">0.0001</definedName>
    <definedName name="solver_drv" localSheetId="3" hidden="1">1</definedName>
    <definedName name="solver_drv" localSheetId="5" hidden="1">2</definedName>
    <definedName name="solver_drv" localSheetId="7" hidden="1">2</definedName>
    <definedName name="solver_eng" localSheetId="3" hidden="1">1</definedName>
    <definedName name="solver_eng" localSheetId="4" hidden="1">1</definedName>
    <definedName name="solver_eng" localSheetId="5" hidden="1">1</definedName>
    <definedName name="solver_eng" localSheetId="0" hidden="1">1</definedName>
    <definedName name="solver_eng" localSheetId="7" hidden="1">1</definedName>
    <definedName name="solver_eng" localSheetId="1" hidden="1">1</definedName>
    <definedName name="solver_est" localSheetId="3" hidden="1">1</definedName>
    <definedName name="solver_est" localSheetId="5" hidden="1">1</definedName>
    <definedName name="solver_est" localSheetId="7" hidden="1">1</definedName>
    <definedName name="solver_itr" localSheetId="3" hidden="1">2147483647</definedName>
    <definedName name="solver_itr" localSheetId="5" hidden="1">2147483647</definedName>
    <definedName name="solver_itr" localSheetId="7" hidden="1">2147483647</definedName>
    <definedName name="solver_lhs1" localSheetId="3" hidden="1">'2 Aggregate System'!$A$23</definedName>
    <definedName name="solver_lhs1" localSheetId="5" hidden="1">'4 Mix Design'!$C$29</definedName>
    <definedName name="solver_lhs1" localSheetId="7" hidden="1">'Optimize Tool'!$D$12</definedName>
    <definedName name="solver_lhs2" localSheetId="3" hidden="1">'4 Mix Design'!$L$54</definedName>
    <definedName name="solver_lhs2" localSheetId="5" hidden="1">'4 Mix Design'!$C$38</definedName>
    <definedName name="solver_lhs2" localSheetId="7" hidden="1">'Optimize Tool'!$H$38</definedName>
    <definedName name="solver_lhs3" localSheetId="3" hidden="1">'4 Mix Design'!$L$54</definedName>
    <definedName name="solver_lhs3" localSheetId="7" hidden="1">'Optimize Tool'!$H$38</definedName>
    <definedName name="solver_lhs4" localSheetId="3" hidden="1">'4 Mix Design'!$L$56</definedName>
    <definedName name="solver_lhs4" localSheetId="7" hidden="1">'Optimize Tool'!$D$13</definedName>
    <definedName name="solver_lhs5" localSheetId="3" hidden="1">'2 Aggregate System'!#REF!</definedName>
    <definedName name="solver_lhs5" localSheetId="7" hidden="1">'Optimize Tool'!$H$42</definedName>
    <definedName name="solver_lhs6" localSheetId="3" hidden="1">'2 Aggregate System'!$K$41</definedName>
    <definedName name="solver_lhs6" localSheetId="7" hidden="1">'Optimize Tool'!$P$12</definedName>
    <definedName name="solver_lhs7" localSheetId="7" hidden="1">'Optimize Tool'!$L$14</definedName>
    <definedName name="solver_mip" localSheetId="3" hidden="1">2147483647</definedName>
    <definedName name="solver_mip" localSheetId="5" hidden="1">2147483647</definedName>
    <definedName name="solver_mip" localSheetId="7" hidden="1">2147483647</definedName>
    <definedName name="solver_mni" localSheetId="3" hidden="1">30</definedName>
    <definedName name="solver_mni" localSheetId="5" hidden="1">30</definedName>
    <definedName name="solver_mni" localSheetId="7" hidden="1">30</definedName>
    <definedName name="solver_mrt" localSheetId="3" hidden="1">0.075</definedName>
    <definedName name="solver_mrt" localSheetId="5" hidden="1">0.075</definedName>
    <definedName name="solver_mrt" localSheetId="7" hidden="1">0.075</definedName>
    <definedName name="solver_msl" localSheetId="3" hidden="1">2</definedName>
    <definedName name="solver_msl" localSheetId="5" hidden="1">2</definedName>
    <definedName name="solver_msl" localSheetId="7" hidden="1">2</definedName>
    <definedName name="solver_neg" localSheetId="3" hidden="1">1</definedName>
    <definedName name="solver_neg" localSheetId="4" hidden="1">1</definedName>
    <definedName name="solver_neg" localSheetId="5" hidden="1">1</definedName>
    <definedName name="solver_neg" localSheetId="0" hidden="1">1</definedName>
    <definedName name="solver_neg" localSheetId="7" hidden="1">1</definedName>
    <definedName name="solver_neg" localSheetId="1" hidden="1">1</definedName>
    <definedName name="solver_nod" localSheetId="3" hidden="1">2147483647</definedName>
    <definedName name="solver_nod" localSheetId="5" hidden="1">2147483647</definedName>
    <definedName name="solver_nod" localSheetId="7" hidden="1">2147483647</definedName>
    <definedName name="solver_num" localSheetId="3" hidden="1">6</definedName>
    <definedName name="solver_num" localSheetId="4" hidden="1">0</definedName>
    <definedName name="solver_num" localSheetId="5" hidden="1">0</definedName>
    <definedName name="solver_num" localSheetId="0" hidden="1">0</definedName>
    <definedName name="solver_num" localSheetId="7" hidden="1">7</definedName>
    <definedName name="solver_num" localSheetId="1" hidden="1">0</definedName>
    <definedName name="solver_nwt" localSheetId="3" hidden="1">1</definedName>
    <definedName name="solver_nwt" localSheetId="5" hidden="1">1</definedName>
    <definedName name="solver_nwt" localSheetId="7" hidden="1">1</definedName>
    <definedName name="solver_opt" localSheetId="3" hidden="1">'2 Aggregate System'!$L$43</definedName>
    <definedName name="solver_opt" localSheetId="4" hidden="1">'3 Paste Quality'!$B$76</definedName>
    <definedName name="solver_opt" localSheetId="5" hidden="1">'4 Mix Design'!$G$26</definedName>
    <definedName name="solver_opt" localSheetId="0" hidden="1">Directions!$C$94</definedName>
    <definedName name="solver_opt" localSheetId="7" hidden="1">'Optimize Tool'!$P$10</definedName>
    <definedName name="solver_opt" localSheetId="1" hidden="1">'Printing Directions'!$C$78</definedName>
    <definedName name="solver_pre" localSheetId="3" hidden="1">0.001</definedName>
    <definedName name="solver_pre" localSheetId="5" hidden="1">0.001</definedName>
    <definedName name="solver_pre" localSheetId="7" hidden="1">0.001</definedName>
    <definedName name="solver_rbv" localSheetId="3" hidden="1">1</definedName>
    <definedName name="solver_rbv" localSheetId="5" hidden="1">2</definedName>
    <definedName name="solver_rbv" localSheetId="7" hidden="1">2</definedName>
    <definedName name="solver_rel1" localSheetId="3" hidden="1">2</definedName>
    <definedName name="solver_rel1" localSheetId="5" hidden="1">3</definedName>
    <definedName name="solver_rel1" localSheetId="7" hidden="1">3</definedName>
    <definedName name="solver_rel2" localSheetId="3" hidden="1">1</definedName>
    <definedName name="solver_rel2" localSheetId="5" hidden="1">3</definedName>
    <definedName name="solver_rel2" localSheetId="7" hidden="1">1</definedName>
    <definedName name="solver_rel3" localSheetId="3" hidden="1">3</definedName>
    <definedName name="solver_rel3" localSheetId="7" hidden="1">3</definedName>
    <definedName name="solver_rel4" localSheetId="3" hidden="1">3</definedName>
    <definedName name="solver_rel4" localSheetId="7" hidden="1">2</definedName>
    <definedName name="solver_rel5" localSheetId="3" hidden="1">2</definedName>
    <definedName name="solver_rel5" localSheetId="7" hidden="1">1</definedName>
    <definedName name="solver_rel6" localSheetId="3" hidden="1">2</definedName>
    <definedName name="solver_rel6" localSheetId="7" hidden="1">2</definedName>
    <definedName name="solver_rel7" localSheetId="7" hidden="1">2</definedName>
    <definedName name="solver_rhs1" localSheetId="3" hidden="1">100</definedName>
    <definedName name="solver_rhs1" localSheetId="5" hidden="1">500</definedName>
    <definedName name="solver_rhs1" localSheetId="7" hidden="1">2700</definedName>
    <definedName name="solver_rhs2" localSheetId="3" hidden="1">34</definedName>
    <definedName name="solver_rhs2" localSheetId="5" hidden="1">125</definedName>
    <definedName name="solver_rhs2" localSheetId="7" hidden="1">'Optimize Tool'!$P$18</definedName>
    <definedName name="solver_rhs3" localSheetId="3" hidden="1">24</definedName>
    <definedName name="solver_rhs3" localSheetId="7" hidden="1">'Optimize Tool'!$P$16</definedName>
    <definedName name="solver_rhs4" localSheetId="3" hidden="1">15</definedName>
    <definedName name="solver_rhs4" localSheetId="7" hidden="1">100</definedName>
    <definedName name="solver_rhs5" localSheetId="3" hidden="1">0</definedName>
    <definedName name="solver_rhs5" localSheetId="7" hidden="1">'Optimize Tool'!$P$20</definedName>
    <definedName name="solver_rhs6" localSheetId="3" hidden="1">0</definedName>
    <definedName name="solver_rhs6" localSheetId="7" hidden="1">0</definedName>
    <definedName name="solver_rhs7" localSheetId="7" hidden="1">'Optimize Tool'!$P$14</definedName>
    <definedName name="solver_rlx" localSheetId="3" hidden="1">2</definedName>
    <definedName name="solver_rlx" localSheetId="5" hidden="1">2</definedName>
    <definedName name="solver_rlx" localSheetId="7" hidden="1">2</definedName>
    <definedName name="solver_rsd" localSheetId="3" hidden="1">0</definedName>
    <definedName name="solver_rsd" localSheetId="5" hidden="1">0</definedName>
    <definedName name="solver_rsd" localSheetId="7" hidden="1">0</definedName>
    <definedName name="solver_scl" localSheetId="3" hidden="1">1</definedName>
    <definedName name="solver_scl" localSheetId="5" hidden="1">2</definedName>
    <definedName name="solver_scl" localSheetId="7" hidden="1">2</definedName>
    <definedName name="solver_sho" localSheetId="3" hidden="1">2</definedName>
    <definedName name="solver_sho" localSheetId="5" hidden="1">2</definedName>
    <definedName name="solver_sho" localSheetId="7" hidden="1">2</definedName>
    <definedName name="solver_ssz" localSheetId="3" hidden="1">100</definedName>
    <definedName name="solver_ssz" localSheetId="5" hidden="1">100</definedName>
    <definedName name="solver_ssz" localSheetId="7" hidden="1">100</definedName>
    <definedName name="solver_tim" localSheetId="3" hidden="1">2147483647</definedName>
    <definedName name="solver_tim" localSheetId="5" hidden="1">2147483647</definedName>
    <definedName name="solver_tim" localSheetId="7" hidden="1">2147483647</definedName>
    <definedName name="solver_tol" localSheetId="3" hidden="1">0.01</definedName>
    <definedName name="solver_tol" localSheetId="5" hidden="1">0.01</definedName>
    <definedName name="solver_tol" localSheetId="7" hidden="1">0.01</definedName>
    <definedName name="solver_typ" localSheetId="3" hidden="1">2</definedName>
    <definedName name="solver_typ" localSheetId="4" hidden="1">1</definedName>
    <definedName name="solver_typ" localSheetId="5" hidden="1">3</definedName>
    <definedName name="solver_typ" localSheetId="0" hidden="1">1</definedName>
    <definedName name="solver_typ" localSheetId="7" hidden="1">2</definedName>
    <definedName name="solver_typ" localSheetId="1" hidden="1">1</definedName>
    <definedName name="solver_val" localSheetId="3" hidden="1">0</definedName>
    <definedName name="solver_val" localSheetId="4" hidden="1">0</definedName>
    <definedName name="solver_val" localSheetId="5" hidden="1">27.2</definedName>
    <definedName name="solver_val" localSheetId="0" hidden="1">0</definedName>
    <definedName name="solver_val" localSheetId="7" hidden="1">27.2</definedName>
    <definedName name="solver_val" localSheetId="1" hidden="1">0</definedName>
    <definedName name="solver_ver" localSheetId="3" hidden="1">3</definedName>
    <definedName name="solver_ver" localSheetId="4" hidden="1">3</definedName>
    <definedName name="solver_ver" localSheetId="5" hidden="1">3</definedName>
    <definedName name="solver_ver" localSheetId="0" hidden="1">3</definedName>
    <definedName name="solver_ver" localSheetId="7" hidden="1">3</definedName>
    <definedName name="solver_ver" localSheetId="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0" i="4" l="1"/>
  <c r="AF10" i="4"/>
  <c r="AE11" i="4"/>
  <c r="AF11" i="4"/>
  <c r="AE12" i="4"/>
  <c r="AF12" i="4"/>
  <c r="AE13" i="4"/>
  <c r="AF13" i="4"/>
  <c r="AE14" i="4"/>
  <c r="AF14" i="4"/>
  <c r="AE15" i="4"/>
  <c r="AF15" i="4"/>
  <c r="AE16" i="4"/>
  <c r="AF16" i="4"/>
  <c r="AE17" i="4"/>
  <c r="AF17" i="4"/>
  <c r="AE18" i="4"/>
  <c r="AF18" i="4"/>
  <c r="AE19" i="4"/>
  <c r="AF19" i="4"/>
  <c r="AE20" i="4"/>
  <c r="AF20" i="4"/>
  <c r="AE9" i="4"/>
  <c r="AF9" i="4"/>
  <c r="AD10" i="4" l="1"/>
  <c r="AD11" i="4"/>
  <c r="AD12" i="4"/>
  <c r="AD13" i="4"/>
  <c r="AD14" i="4"/>
  <c r="AD15" i="4"/>
  <c r="AD16" i="4"/>
  <c r="AD17" i="4"/>
  <c r="AD18" i="4"/>
  <c r="AD19" i="4"/>
  <c r="AD20" i="4"/>
  <c r="AD9" i="4"/>
  <c r="AD8" i="4"/>
  <c r="AC12" i="4" l="1"/>
  <c r="AC13" i="4"/>
  <c r="AC14" i="4"/>
  <c r="AC15" i="4"/>
  <c r="AC16" i="4"/>
  <c r="AC17" i="4"/>
  <c r="AC18" i="4"/>
  <c r="AC19" i="4"/>
  <c r="AC20" i="4"/>
  <c r="AC11" i="4"/>
  <c r="AC10" i="4"/>
  <c r="AC9" i="4"/>
  <c r="N9" i="13" l="1"/>
  <c r="T11" i="12"/>
  <c r="S11" i="12"/>
  <c r="G96" i="9"/>
  <c r="G97" i="9"/>
  <c r="G98" i="9"/>
  <c r="G99" i="9"/>
  <c r="G95" i="9"/>
  <c r="C27" i="2" l="1"/>
  <c r="C28" i="2"/>
  <c r="AI9" i="4"/>
  <c r="AI10" i="4"/>
  <c r="AI11" i="4"/>
  <c r="AE8" i="4"/>
  <c r="AF8" i="4"/>
  <c r="AC8" i="4"/>
  <c r="AB10" i="4"/>
  <c r="AB11" i="4"/>
  <c r="AB9" i="4"/>
  <c r="AB8" i="4"/>
  <c r="AV11" i="4" l="1"/>
  <c r="AV9" i="4"/>
  <c r="AV8" i="4"/>
  <c r="AV10" i="4"/>
  <c r="AI8" i="4"/>
  <c r="AW9" i="4"/>
  <c r="AW10" i="4"/>
  <c r="AW11" i="4"/>
  <c r="AW8" i="4"/>
  <c r="AH8" i="4"/>
  <c r="AH9" i="4"/>
  <c r="AH10" i="4"/>
  <c r="AH11" i="4"/>
  <c r="A2" i="13" l="1"/>
  <c r="A2" i="11"/>
  <c r="A2" i="4"/>
  <c r="A2" i="6"/>
  <c r="A2" i="12"/>
  <c r="A2" i="10"/>
  <c r="A2" i="3"/>
  <c r="A2" i="2"/>
  <c r="A2" i="1"/>
  <c r="B63" i="9"/>
  <c r="B2" i="9"/>
  <c r="A67" i="8"/>
  <c r="C31" i="2"/>
  <c r="E20" i="2" l="1"/>
  <c r="D20" i="11" l="1"/>
  <c r="I39" i="9"/>
  <c r="D19" i="11"/>
  <c r="E19" i="11" s="1"/>
  <c r="E22" i="9" s="1"/>
  <c r="D12" i="10" s="1"/>
  <c r="H115" i="9" l="1"/>
  <c r="I116" i="9"/>
  <c r="H113" i="9"/>
  <c r="H117" i="9"/>
  <c r="H114" i="9" s="1"/>
  <c r="H112" i="9"/>
  <c r="H44" i="2"/>
  <c r="P14" i="12"/>
  <c r="W23" i="11"/>
  <c r="V23" i="11"/>
  <c r="Y23" i="11" s="1"/>
  <c r="Z23" i="11" l="1"/>
  <c r="G88" i="9"/>
  <c r="H122" i="9" l="1"/>
  <c r="E24" i="11" l="1"/>
  <c r="B23" i="3"/>
  <c r="B22" i="3"/>
  <c r="B21" i="3"/>
  <c r="B20" i="3"/>
  <c r="B19" i="3"/>
  <c r="P49" i="11" l="1"/>
  <c r="Q49" i="11" s="1"/>
  <c r="J45" i="12" s="1"/>
  <c r="Q22" i="11"/>
  <c r="Q23" i="11"/>
  <c r="Q24" i="11"/>
  <c r="Q25" i="11"/>
  <c r="Q21" i="11"/>
  <c r="P32" i="11"/>
  <c r="D13" i="12"/>
  <c r="R21" i="11" l="1"/>
  <c r="E7" i="12" s="1"/>
  <c r="AM41" i="4" s="1"/>
  <c r="R25" i="11"/>
  <c r="E18" i="3" s="1"/>
  <c r="R23" i="11"/>
  <c r="R22" i="11"/>
  <c r="R24" i="11"/>
  <c r="D16" i="12"/>
  <c r="E14" i="3" l="1"/>
  <c r="E11" i="12"/>
  <c r="AM45" i="4" s="1"/>
  <c r="AO45" i="4" s="1"/>
  <c r="E16" i="3"/>
  <c r="P36" i="11"/>
  <c r="E9" i="12"/>
  <c r="AM43" i="4" s="1"/>
  <c r="AO43" i="4" s="1"/>
  <c r="E15" i="3"/>
  <c r="E8" i="12"/>
  <c r="AM42" i="4" s="1"/>
  <c r="P38" i="11"/>
  <c r="E17" i="3"/>
  <c r="P37" i="11"/>
  <c r="E10" i="12"/>
  <c r="AM44" i="4" s="1"/>
  <c r="Q58" i="11"/>
  <c r="T54" i="11"/>
  <c r="AP26" i="4"/>
  <c r="AP27" i="4"/>
  <c r="AP28" i="4"/>
  <c r="AP29" i="4"/>
  <c r="AP30" i="4"/>
  <c r="AP31" i="4"/>
  <c r="AP32" i="4"/>
  <c r="AP33" i="4"/>
  <c r="AP34" i="4"/>
  <c r="AP35" i="4"/>
  <c r="AP36" i="4"/>
  <c r="AP25" i="4"/>
  <c r="G38" i="12" l="1"/>
  <c r="P18" i="12"/>
  <c r="P58" i="11"/>
  <c r="F38" i="12" s="1"/>
  <c r="J13" i="12" l="1"/>
  <c r="K12" i="12"/>
  <c r="I8" i="12"/>
  <c r="I7" i="12"/>
  <c r="B11" i="12"/>
  <c r="A11" i="12"/>
  <c r="B10" i="12"/>
  <c r="A10" i="12"/>
  <c r="B9" i="12"/>
  <c r="A9" i="12"/>
  <c r="B8" i="12"/>
  <c r="A8" i="12"/>
  <c r="B7" i="12"/>
  <c r="A7" i="12"/>
  <c r="N7" i="12"/>
  <c r="C31" i="3"/>
  <c r="AM47" i="4" l="1"/>
  <c r="AX9" i="4" s="1"/>
  <c r="AM46" i="4"/>
  <c r="I3" i="3"/>
  <c r="I3" i="2"/>
  <c r="E9" i="3"/>
  <c r="A9" i="3"/>
  <c r="E7" i="3"/>
  <c r="A7" i="3"/>
  <c r="H5" i="3"/>
  <c r="E5" i="3"/>
  <c r="C5" i="3"/>
  <c r="A5" i="3"/>
  <c r="E9" i="2"/>
  <c r="A9" i="2"/>
  <c r="E7" i="2"/>
  <c r="A7" i="2"/>
  <c r="H5" i="2"/>
  <c r="E5" i="2"/>
  <c r="C5" i="2"/>
  <c r="A5" i="2"/>
  <c r="AX8" i="4" l="1"/>
  <c r="AY8" i="4" s="1"/>
  <c r="AX10" i="4"/>
  <c r="AX11" i="4"/>
  <c r="G17" i="2"/>
  <c r="J10" i="1"/>
  <c r="H99" i="9"/>
  <c r="H98" i="9"/>
  <c r="H96" i="9"/>
  <c r="H95" i="9"/>
  <c r="H97" i="9"/>
  <c r="AY11" i="4" l="1"/>
  <c r="AY10" i="4"/>
  <c r="AY9" i="4"/>
  <c r="X6" i="11"/>
  <c r="Z6" i="11" s="1"/>
  <c r="X7" i="11"/>
  <c r="Z7" i="11" s="1"/>
  <c r="X8" i="11"/>
  <c r="Z8" i="11" s="1"/>
  <c r="X9" i="11"/>
  <c r="Z9" i="11" s="1"/>
  <c r="X5" i="11"/>
  <c r="Z5" i="11" s="1"/>
  <c r="E80" i="9" l="1"/>
  <c r="Y29" i="11"/>
  <c r="Y30" i="11"/>
  <c r="Y31" i="11"/>
  <c r="X29" i="11"/>
  <c r="X30" i="11"/>
  <c r="X31" i="11"/>
  <c r="Y28" i="11"/>
  <c r="X28" i="11"/>
  <c r="W29" i="11"/>
  <c r="W30" i="11"/>
  <c r="W31" i="11"/>
  <c r="W28" i="11"/>
  <c r="X23" i="11"/>
  <c r="AA23" i="11" s="1"/>
  <c r="W15" i="11"/>
  <c r="X15" i="11"/>
  <c r="Y15" i="11"/>
  <c r="W16" i="11"/>
  <c r="X16" i="11"/>
  <c r="Y16" i="11"/>
  <c r="W17" i="11"/>
  <c r="X17" i="11"/>
  <c r="Y17" i="11"/>
  <c r="W18" i="11"/>
  <c r="X18" i="11"/>
  <c r="Y18" i="11"/>
  <c r="X14" i="11"/>
  <c r="Y14" i="11"/>
  <c r="W14" i="11"/>
  <c r="Y6" i="11"/>
  <c r="Y7" i="11"/>
  <c r="Y8" i="11"/>
  <c r="Y9" i="11"/>
  <c r="Y5" i="11"/>
  <c r="W6" i="11"/>
  <c r="C17" i="10" s="1"/>
  <c r="W7" i="11"/>
  <c r="C18" i="10" s="1"/>
  <c r="W8" i="11"/>
  <c r="C19" i="10" s="1"/>
  <c r="W9" i="11"/>
  <c r="C20" i="10" s="1"/>
  <c r="W5" i="11"/>
  <c r="C16" i="10" s="1"/>
  <c r="E9" i="1"/>
  <c r="A9" i="1"/>
  <c r="E7" i="1"/>
  <c r="A7" i="1"/>
  <c r="E5" i="1"/>
  <c r="C5" i="1"/>
  <c r="A5" i="1"/>
  <c r="H5" i="1"/>
  <c r="I3" i="1"/>
  <c r="L3" i="10" s="1"/>
  <c r="E127" i="9"/>
  <c r="H121" i="9" s="1"/>
  <c r="J32" i="11"/>
  <c r="H106" i="9" s="1"/>
  <c r="F70" i="9"/>
  <c r="B70" i="9"/>
  <c r="F68" i="9"/>
  <c r="B68" i="9"/>
  <c r="H66" i="9"/>
  <c r="F66" i="9"/>
  <c r="D66" i="9"/>
  <c r="B66" i="9"/>
  <c r="AB5" i="11" l="1"/>
  <c r="C75" i="9" s="1"/>
  <c r="H88" i="9"/>
  <c r="G105" i="9" s="1"/>
  <c r="I88" i="9"/>
  <c r="AB9" i="11"/>
  <c r="C79" i="9" s="1"/>
  <c r="AB8" i="11"/>
  <c r="C78" i="9" s="1"/>
  <c r="AB7" i="11"/>
  <c r="C77" i="9" s="1"/>
  <c r="AB6" i="11"/>
  <c r="C76" i="9" s="1"/>
  <c r="Z31" i="11"/>
  <c r="G83" i="9" s="1"/>
  <c r="AA18" i="11"/>
  <c r="D89" i="9" s="1"/>
  <c r="AA17" i="11"/>
  <c r="D88" i="9" s="1"/>
  <c r="AB16" i="11"/>
  <c r="E87" i="9" s="1"/>
  <c r="Z17" i="11"/>
  <c r="C88" i="9" s="1"/>
  <c r="Z18" i="11"/>
  <c r="C89" i="9" s="1"/>
  <c r="Z16" i="11"/>
  <c r="C87" i="9" s="1"/>
  <c r="AB31" i="11"/>
  <c r="I83" i="9" s="1"/>
  <c r="AA16" i="11"/>
  <c r="D87" i="9" s="1"/>
  <c r="AA31" i="11"/>
  <c r="H83" i="9" s="1"/>
  <c r="AB18" i="11"/>
  <c r="E89" i="9" s="1"/>
  <c r="AB17" i="11"/>
  <c r="E88" i="9" s="1"/>
  <c r="AB30" i="11"/>
  <c r="I81" i="9" s="1"/>
  <c r="AA15" i="11"/>
  <c r="D86" i="9" s="1"/>
  <c r="AB14" i="11"/>
  <c r="E85" i="9" s="1"/>
  <c r="AB15" i="11"/>
  <c r="E86" i="9" s="1"/>
  <c r="AA14" i="11"/>
  <c r="D85" i="9" s="1"/>
  <c r="Z15" i="11"/>
  <c r="C86" i="9" s="1"/>
  <c r="AA9" i="11"/>
  <c r="E79" i="9" s="1"/>
  <c r="AA8" i="11"/>
  <c r="E78" i="9" s="1"/>
  <c r="AA7" i="11"/>
  <c r="E77" i="9" s="1"/>
  <c r="AA5" i="11"/>
  <c r="E75" i="9" s="1"/>
  <c r="AA6" i="11"/>
  <c r="E76" i="9" s="1"/>
  <c r="AA30" i="11"/>
  <c r="H81" i="9" s="1"/>
  <c r="Z30" i="11"/>
  <c r="G81" i="9" s="1"/>
  <c r="Z28" i="11"/>
  <c r="G77" i="9" s="1"/>
  <c r="AA28" i="11"/>
  <c r="H77" i="9" s="1"/>
  <c r="AB28" i="11"/>
  <c r="I77" i="9" s="1"/>
  <c r="AB29" i="11"/>
  <c r="I79" i="9" s="1"/>
  <c r="AA29" i="11"/>
  <c r="H79" i="9" s="1"/>
  <c r="Z29" i="11"/>
  <c r="G79" i="9" s="1"/>
  <c r="Z14" i="11"/>
  <c r="C85" i="9" s="1"/>
  <c r="G100" i="9" s="1"/>
  <c r="G101" i="9" l="1"/>
  <c r="G103" i="9"/>
  <c r="G102" i="9"/>
  <c r="G104" i="9"/>
  <c r="B15" i="3"/>
  <c r="B16" i="3"/>
  <c r="B17" i="3"/>
  <c r="B18" i="3"/>
  <c r="B14" i="3"/>
  <c r="E25" i="11" l="1"/>
  <c r="I108" i="9" l="1"/>
  <c r="I13" i="1"/>
  <c r="L15" i="10"/>
  <c r="B5" i="6"/>
  <c r="J9" i="3"/>
  <c r="C39" i="3"/>
  <c r="J49" i="11" l="1"/>
  <c r="F24" i="3"/>
  <c r="K49" i="11" l="1"/>
  <c r="C37" i="3" s="1"/>
  <c r="K22" i="11"/>
  <c r="K23" i="11"/>
  <c r="K24" i="11"/>
  <c r="K25" i="11"/>
  <c r="K21" i="11"/>
  <c r="J36" i="11" l="1"/>
  <c r="J37" i="11"/>
  <c r="J38" i="11"/>
  <c r="D12" i="11"/>
  <c r="D13" i="11"/>
  <c r="D14" i="11"/>
  <c r="D15" i="11"/>
  <c r="D11" i="11"/>
  <c r="D33" i="11"/>
  <c r="K28" i="11" s="1"/>
  <c r="H102" i="9" s="1"/>
  <c r="D34" i="11"/>
  <c r="K29" i="11" s="1"/>
  <c r="H103" i="9" s="1"/>
  <c r="D35" i="11"/>
  <c r="D32" i="11"/>
  <c r="J27" i="11"/>
  <c r="J28" i="11"/>
  <c r="J29" i="11"/>
  <c r="J30" i="11"/>
  <c r="J26" i="11"/>
  <c r="R27" i="11" l="1"/>
  <c r="J8" i="12" s="1"/>
  <c r="K27" i="11"/>
  <c r="H101" i="9" s="1"/>
  <c r="R30" i="11"/>
  <c r="J11" i="12" s="1"/>
  <c r="K30" i="11"/>
  <c r="R29" i="11"/>
  <c r="J10" i="12" s="1"/>
  <c r="R28" i="11"/>
  <c r="J9" i="12" s="1"/>
  <c r="L28" i="11"/>
  <c r="D36" i="11"/>
  <c r="R26" i="11" s="1"/>
  <c r="J7" i="12" s="1"/>
  <c r="M54" i="11"/>
  <c r="J58" i="11"/>
  <c r="P16" i="3" s="1"/>
  <c r="D24" i="11"/>
  <c r="J51" i="11"/>
  <c r="L27" i="11" l="1"/>
  <c r="L30" i="11"/>
  <c r="M30" i="11" s="1"/>
  <c r="H104" i="9"/>
  <c r="L29" i="11"/>
  <c r="P39" i="11"/>
  <c r="K26" i="11"/>
  <c r="F30" i="11"/>
  <c r="E26" i="11"/>
  <c r="E27" i="11"/>
  <c r="C33" i="2"/>
  <c r="L26" i="11" l="1"/>
  <c r="D19" i="3"/>
  <c r="E11" i="11" s="1"/>
  <c r="K7" i="12" s="1"/>
  <c r="P41" i="11"/>
  <c r="S32" i="11"/>
  <c r="T32" i="11" s="1"/>
  <c r="Q41" i="11" s="1"/>
  <c r="F11" i="11"/>
  <c r="P26" i="11" s="1"/>
  <c r="S26" i="11" s="1"/>
  <c r="F12" i="11"/>
  <c r="P27" i="11" s="1"/>
  <c r="S27" i="11" s="1"/>
  <c r="T27" i="11" s="1"/>
  <c r="F13" i="11"/>
  <c r="P28" i="11" s="1"/>
  <c r="S28" i="11" s="1"/>
  <c r="T28" i="11" s="1"/>
  <c r="F14" i="11"/>
  <c r="P29" i="11" s="1"/>
  <c r="S29" i="11" s="1"/>
  <c r="T29" i="11" s="1"/>
  <c r="F15" i="11"/>
  <c r="P30" i="11" s="1"/>
  <c r="S30" i="11" s="1"/>
  <c r="T30" i="11" s="1"/>
  <c r="J39" i="11"/>
  <c r="D15" i="12" s="1"/>
  <c r="H100" i="9"/>
  <c r="L32" i="11"/>
  <c r="J41" i="11"/>
  <c r="M27" i="11"/>
  <c r="D20" i="3"/>
  <c r="D23" i="3"/>
  <c r="E15" i="11" s="1"/>
  <c r="M28" i="11"/>
  <c r="D21" i="3"/>
  <c r="E13" i="11" s="1"/>
  <c r="M29" i="11"/>
  <c r="D22" i="3"/>
  <c r="E14" i="11" s="1"/>
  <c r="D25" i="11"/>
  <c r="F25" i="11" s="1"/>
  <c r="F24" i="11" l="1" a="1"/>
  <c r="F24" i="11" s="1"/>
  <c r="E12" i="11"/>
  <c r="K8" i="12" s="1"/>
  <c r="Q39" i="11"/>
  <c r="G48" i="12" s="1"/>
  <c r="T26" i="11"/>
  <c r="M26" i="11"/>
  <c r="L7" i="12" s="1"/>
  <c r="D14" i="12"/>
  <c r="J12" i="12" s="1"/>
  <c r="K39" i="11"/>
  <c r="M32" i="11"/>
  <c r="C32" i="2"/>
  <c r="F20" i="3" l="1"/>
  <c r="I100" i="9"/>
  <c r="I106" i="9"/>
  <c r="L13" i="12"/>
  <c r="F21" i="3"/>
  <c r="K9" i="12"/>
  <c r="I101" i="9"/>
  <c r="L8" i="12"/>
  <c r="F22" i="3"/>
  <c r="K10" i="12"/>
  <c r="K11" i="12"/>
  <c r="G19" i="3"/>
  <c r="G25" i="3"/>
  <c r="K41" i="11"/>
  <c r="F19" i="3"/>
  <c r="F23" i="3"/>
  <c r="AB13" i="4"/>
  <c r="AB14" i="4"/>
  <c r="AB15" i="4"/>
  <c r="AB16" i="4"/>
  <c r="AB17" i="4"/>
  <c r="AB18" i="4"/>
  <c r="AB19" i="4"/>
  <c r="AB20" i="4"/>
  <c r="AB12" i="4"/>
  <c r="AX17" i="4" l="1"/>
  <c r="AX16" i="4"/>
  <c r="AX15" i="4"/>
  <c r="AX14" i="4"/>
  <c r="AX13" i="4"/>
  <c r="AX18" i="4"/>
  <c r="AV16" i="4"/>
  <c r="AV19" i="4"/>
  <c r="AV18" i="4"/>
  <c r="AV13" i="4"/>
  <c r="AV12" i="4"/>
  <c r="AV14" i="4"/>
  <c r="AV15" i="4"/>
  <c r="AV17" i="4"/>
  <c r="AX12" i="4"/>
  <c r="AX19" i="4"/>
  <c r="AW17" i="4"/>
  <c r="AW14" i="4"/>
  <c r="AW16" i="4"/>
  <c r="AW12" i="4"/>
  <c r="AW13" i="4"/>
  <c r="AW18" i="4"/>
  <c r="AW15" i="4"/>
  <c r="AW19" i="4"/>
  <c r="I104" i="9"/>
  <c r="L11" i="12"/>
  <c r="I103" i="9"/>
  <c r="L10" i="12"/>
  <c r="G22" i="3"/>
  <c r="G23" i="3"/>
  <c r="L36" i="10"/>
  <c r="L37" i="10"/>
  <c r="L38" i="10"/>
  <c r="L39" i="10"/>
  <c r="L40" i="10"/>
  <c r="L6" i="10"/>
  <c r="H6" i="10"/>
  <c r="E6" i="10"/>
  <c r="A6" i="10"/>
  <c r="A8" i="10"/>
  <c r="A10" i="10"/>
  <c r="K26" i="10"/>
  <c r="I26" i="10"/>
  <c r="G25" i="10"/>
  <c r="K24" i="10"/>
  <c r="K25" i="10" s="1"/>
  <c r="I24" i="10"/>
  <c r="I25" i="10" s="1"/>
  <c r="L30" i="6"/>
  <c r="K30" i="6"/>
  <c r="J30" i="6"/>
  <c r="I30" i="6"/>
  <c r="H30" i="6"/>
  <c r="S39" i="4"/>
  <c r="S40" i="4"/>
  <c r="S41" i="4"/>
  <c r="S42" i="4"/>
  <c r="S43" i="4"/>
  <c r="S44" i="4"/>
  <c r="S45" i="4"/>
  <c r="S46" i="4"/>
  <c r="S47" i="4"/>
  <c r="S48" i="4"/>
  <c r="S49" i="4"/>
  <c r="S50" i="4"/>
  <c r="S51" i="4"/>
  <c r="R50" i="4"/>
  <c r="R51" i="4"/>
  <c r="R40" i="4"/>
  <c r="R41" i="4"/>
  <c r="R42" i="4"/>
  <c r="R43" i="4"/>
  <c r="R44" i="4"/>
  <c r="R45" i="4"/>
  <c r="R46" i="4"/>
  <c r="R47" i="4"/>
  <c r="R48" i="4"/>
  <c r="R49" i="4"/>
  <c r="R39" i="4"/>
  <c r="AY15" i="4" l="1"/>
  <c r="AY16" i="4"/>
  <c r="AY12" i="4"/>
  <c r="AY17" i="4"/>
  <c r="AY14" i="4"/>
  <c r="AY19" i="4"/>
  <c r="AY13" i="4"/>
  <c r="AY18" i="4"/>
  <c r="AW20" i="4"/>
  <c r="AV20" i="4"/>
  <c r="F23" i="1"/>
  <c r="E23" i="1"/>
  <c r="D23" i="1"/>
  <c r="C23" i="1"/>
  <c r="B23" i="1"/>
  <c r="AY20" i="4" l="1"/>
  <c r="C58" i="12" s="1"/>
  <c r="D6" i="11"/>
  <c r="I14" i="1"/>
  <c r="D7" i="11" s="1"/>
  <c r="I15" i="1"/>
  <c r="D8" i="11" s="1"/>
  <c r="I16" i="1"/>
  <c r="D9" i="11" s="1"/>
  <c r="I17" i="1"/>
  <c r="D10" i="11" s="1"/>
  <c r="F9" i="11" l="1"/>
  <c r="P24" i="11" s="1"/>
  <c r="F10" i="12" s="1"/>
  <c r="E9" i="11"/>
  <c r="J24" i="11" s="1"/>
  <c r="F17" i="3" s="1"/>
  <c r="F7" i="11"/>
  <c r="P22" i="11" s="1"/>
  <c r="F8" i="12" s="1"/>
  <c r="E7" i="11"/>
  <c r="J22" i="11" s="1"/>
  <c r="F15" i="3" s="1"/>
  <c r="F10" i="11"/>
  <c r="P25" i="11" s="1"/>
  <c r="F11" i="12" s="1"/>
  <c r="E10" i="11"/>
  <c r="J25" i="11" s="1"/>
  <c r="F18" i="3" s="1"/>
  <c r="F6" i="11"/>
  <c r="P21" i="11" s="1"/>
  <c r="F7" i="12" s="1"/>
  <c r="E6" i="11"/>
  <c r="J21" i="11" s="1"/>
  <c r="F14" i="3" s="1"/>
  <c r="F8" i="11"/>
  <c r="E8" i="11"/>
  <c r="D27" i="4"/>
  <c r="D28" i="4"/>
  <c r="O26" i="4" s="1"/>
  <c r="E28" i="4"/>
  <c r="D29" i="4"/>
  <c r="E29" i="4"/>
  <c r="D30" i="4"/>
  <c r="O28" i="4" s="1"/>
  <c r="E30" i="4"/>
  <c r="D31" i="4"/>
  <c r="E31" i="4"/>
  <c r="D32" i="4"/>
  <c r="O30" i="4" s="1"/>
  <c r="E32" i="4"/>
  <c r="D33" i="4"/>
  <c r="E33" i="4"/>
  <c r="D34" i="4"/>
  <c r="O32" i="4" s="1"/>
  <c r="E34" i="4"/>
  <c r="D35" i="4"/>
  <c r="E35" i="4"/>
  <c r="D36" i="4"/>
  <c r="O34" i="4" s="1"/>
  <c r="E36" i="4"/>
  <c r="D37" i="4"/>
  <c r="E37" i="4"/>
  <c r="D38" i="4"/>
  <c r="O36" i="4" s="1"/>
  <c r="E38" i="4"/>
  <c r="D39" i="4"/>
  <c r="E39" i="4"/>
  <c r="D40" i="4"/>
  <c r="O38" i="4" s="1"/>
  <c r="E40" i="4"/>
  <c r="F24" i="1"/>
  <c r="E24" i="1"/>
  <c r="D24" i="1"/>
  <c r="C24" i="1"/>
  <c r="B24" i="1"/>
  <c r="L21" i="11" l="1"/>
  <c r="M21" i="11" s="1"/>
  <c r="G14" i="3" s="1"/>
  <c r="P23" i="11"/>
  <c r="F9" i="12" s="1"/>
  <c r="AN43" i="4" s="1"/>
  <c r="J23" i="11"/>
  <c r="L24" i="11"/>
  <c r="AN41" i="4"/>
  <c r="AO41" i="4" s="1"/>
  <c r="S21" i="11"/>
  <c r="T21" i="11" s="1"/>
  <c r="G7" i="12" s="1"/>
  <c r="AN42" i="4"/>
  <c r="AO42" i="4" s="1"/>
  <c r="S22" i="11"/>
  <c r="T22" i="11" s="1"/>
  <c r="G8" i="12" s="1"/>
  <c r="L22" i="11"/>
  <c r="M22" i="11" s="1"/>
  <c r="G15" i="3" s="1"/>
  <c r="AN44" i="4"/>
  <c r="AO44" i="4" s="1"/>
  <c r="S24" i="11"/>
  <c r="T24" i="11" s="1"/>
  <c r="G10" i="12" s="1"/>
  <c r="AN45" i="4"/>
  <c r="S25" i="11"/>
  <c r="T25" i="11" s="1"/>
  <c r="G11" i="12" s="1"/>
  <c r="L25" i="11"/>
  <c r="M25" i="11" s="1"/>
  <c r="G18" i="3" s="1"/>
  <c r="S23" i="11" l="1"/>
  <c r="T23" i="11" s="1"/>
  <c r="G9" i="12" s="1"/>
  <c r="L23" i="11"/>
  <c r="M23" i="11" s="1"/>
  <c r="G16" i="3" s="1"/>
  <c r="F16" i="3"/>
  <c r="AO46" i="4"/>
  <c r="AP43" i="4" s="1"/>
  <c r="M24" i="11"/>
  <c r="G17" i="3" s="1"/>
  <c r="I99" i="9"/>
  <c r="I96" i="9"/>
  <c r="K37" i="11"/>
  <c r="I95" i="9"/>
  <c r="I97" i="9" l="1"/>
  <c r="K38" i="11"/>
  <c r="K36" i="11"/>
  <c r="AP44" i="4"/>
  <c r="AQ17" i="4" s="1"/>
  <c r="AP42" i="4"/>
  <c r="AO13" i="4" s="1"/>
  <c r="AP45" i="4"/>
  <c r="AR12" i="4" s="1"/>
  <c r="AP41" i="4"/>
  <c r="I98" i="9"/>
  <c r="AP16" i="4"/>
  <c r="AP9" i="4"/>
  <c r="AP17" i="4"/>
  <c r="AP20" i="4"/>
  <c r="AP12" i="4"/>
  <c r="AP8" i="4"/>
  <c r="AP13" i="4"/>
  <c r="AP14" i="4"/>
  <c r="AP10" i="4"/>
  <c r="AP18" i="4"/>
  <c r="AP19" i="4"/>
  <c r="AP15" i="4"/>
  <c r="AP11" i="4"/>
  <c r="H9" i="12"/>
  <c r="B42" i="2"/>
  <c r="AN9" i="4" l="1"/>
  <c r="AR19" i="4"/>
  <c r="AR8" i="4"/>
  <c r="AO15" i="4"/>
  <c r="AR17" i="4"/>
  <c r="H8" i="12"/>
  <c r="AR9" i="4"/>
  <c r="AR20" i="4"/>
  <c r="AR11" i="4"/>
  <c r="AO17" i="4"/>
  <c r="H7" i="12"/>
  <c r="AO11" i="4"/>
  <c r="AO10" i="4"/>
  <c r="AO12" i="4"/>
  <c r="AR10" i="4"/>
  <c r="AN11" i="4"/>
  <c r="AN16" i="4"/>
  <c r="AN15" i="4"/>
  <c r="AQ14" i="4"/>
  <c r="AQ19" i="4"/>
  <c r="AQ13" i="4"/>
  <c r="H10" i="12"/>
  <c r="AQ9" i="4"/>
  <c r="AQ11" i="4"/>
  <c r="AQ12" i="4"/>
  <c r="AQ8" i="4"/>
  <c r="AQ20" i="4"/>
  <c r="AQ10" i="4"/>
  <c r="AQ16" i="4"/>
  <c r="AO9" i="4"/>
  <c r="AO20" i="4"/>
  <c r="AN19" i="4"/>
  <c r="AQ15" i="4"/>
  <c r="AQ18" i="4"/>
  <c r="AN10" i="4"/>
  <c r="AN17" i="4"/>
  <c r="AN14" i="4"/>
  <c r="AN13" i="4"/>
  <c r="AN20" i="4"/>
  <c r="AN12" i="4"/>
  <c r="AN18" i="4"/>
  <c r="AN8" i="4"/>
  <c r="AO16" i="4"/>
  <c r="AO19" i="4"/>
  <c r="AO8" i="4"/>
  <c r="AO14" i="4"/>
  <c r="AO18" i="4"/>
  <c r="AR16" i="4"/>
  <c r="AR15" i="4"/>
  <c r="AR18" i="4"/>
  <c r="AR14" i="4"/>
  <c r="H11" i="12"/>
  <c r="AR13" i="4"/>
  <c r="L9" i="12"/>
  <c r="AS17" i="4" l="1"/>
  <c r="AS11" i="4"/>
  <c r="AS10" i="4"/>
  <c r="AS9" i="4"/>
  <c r="AS12" i="4"/>
  <c r="AS20" i="4"/>
  <c r="H42" i="12" s="1"/>
  <c r="AS15" i="4"/>
  <c r="AS19" i="4"/>
  <c r="AS13" i="4"/>
  <c r="AS16" i="4"/>
  <c r="AS8" i="4"/>
  <c r="AS14" i="4"/>
  <c r="AS18" i="4"/>
  <c r="I102" i="9"/>
  <c r="G20" i="3"/>
  <c r="G21" i="3"/>
  <c r="J6" i="6"/>
  <c r="AT16" i="4" l="1"/>
  <c r="AM32" i="4" s="1"/>
  <c r="AT20" i="4"/>
  <c r="AM36" i="4" s="1"/>
  <c r="AT17" i="4"/>
  <c r="AM33" i="4" s="1"/>
  <c r="AT11" i="4"/>
  <c r="AM27" i="4" s="1"/>
  <c r="AT19" i="4"/>
  <c r="AM35" i="4" s="1"/>
  <c r="AT13" i="4"/>
  <c r="AM29" i="4" s="1"/>
  <c r="AT15" i="4"/>
  <c r="AT10" i="4"/>
  <c r="AM26" i="4" s="1"/>
  <c r="AT9" i="4"/>
  <c r="AM25" i="4" s="1"/>
  <c r="AT8" i="4"/>
  <c r="AM24" i="4" s="1"/>
  <c r="AT12" i="4"/>
  <c r="AM28" i="4" s="1"/>
  <c r="AT14" i="4"/>
  <c r="AM30" i="4" s="1"/>
  <c r="AT18" i="4"/>
  <c r="AM34" i="4" s="1"/>
  <c r="R31" i="11"/>
  <c r="P40" i="11" s="1"/>
  <c r="P42" i="11" s="1"/>
  <c r="K31" i="11"/>
  <c r="L31" i="11" s="1"/>
  <c r="J14" i="12"/>
  <c r="E32" i="11"/>
  <c r="E35" i="11"/>
  <c r="E33" i="11"/>
  <c r="E34" i="11"/>
  <c r="C29" i="3"/>
  <c r="AC27" i="4"/>
  <c r="AC28" i="4"/>
  <c r="AC29" i="4"/>
  <c r="AC30" i="4"/>
  <c r="AC26" i="4"/>
  <c r="H38" i="12" l="1"/>
  <c r="H40" i="12"/>
  <c r="AM31" i="4"/>
  <c r="AJ8" i="4"/>
  <c r="AJ11" i="4"/>
  <c r="AJ10" i="4"/>
  <c r="AJ9" i="4"/>
  <c r="S31" i="11"/>
  <c r="Q40" i="11" s="1"/>
  <c r="J40" i="11"/>
  <c r="J42" i="11" s="1"/>
  <c r="D24" i="3"/>
  <c r="F32" i="11"/>
  <c r="K40" i="11"/>
  <c r="K42" i="11" s="1"/>
  <c r="AJ15" i="4"/>
  <c r="AJ19" i="4"/>
  <c r="AJ14" i="4"/>
  <c r="AJ16" i="4"/>
  <c r="AJ13" i="4"/>
  <c r="AJ17" i="4"/>
  <c r="AJ18" i="4"/>
  <c r="AJ12" i="4"/>
  <c r="AC31" i="4"/>
  <c r="AE34" i="4" s="1"/>
  <c r="L31" i="10" s="1"/>
  <c r="AI18" i="4"/>
  <c r="AI13" i="4"/>
  <c r="AI12" i="4"/>
  <c r="AI17" i="4"/>
  <c r="AH14" i="4"/>
  <c r="AH15" i="4"/>
  <c r="AH13" i="4"/>
  <c r="AH12" i="4"/>
  <c r="AI15" i="4"/>
  <c r="AI19" i="4"/>
  <c r="AI16" i="4"/>
  <c r="AI14" i="4"/>
  <c r="AH17" i="4"/>
  <c r="AH18" i="4"/>
  <c r="AH19" i="4"/>
  <c r="AH16" i="4"/>
  <c r="D26" i="3" l="1"/>
  <c r="B46" i="2"/>
  <c r="T31" i="11"/>
  <c r="J47" i="11"/>
  <c r="K47" i="11" s="1"/>
  <c r="H105" i="9"/>
  <c r="I14" i="3"/>
  <c r="H32" i="6" s="1"/>
  <c r="M31" i="11"/>
  <c r="J46" i="11"/>
  <c r="J48" i="11" s="1"/>
  <c r="K48" i="11" s="1"/>
  <c r="J45" i="11"/>
  <c r="K45" i="11" s="1"/>
  <c r="J44" i="11"/>
  <c r="K44" i="11" s="1"/>
  <c r="AK19" i="4"/>
  <c r="H31" i="6"/>
  <c r="AK18" i="4"/>
  <c r="AK10" i="4"/>
  <c r="AK16" i="4"/>
  <c r="AK12" i="4"/>
  <c r="AK17" i="4"/>
  <c r="AK9" i="4"/>
  <c r="AK8" i="4"/>
  <c r="AK15" i="4"/>
  <c r="AK14" i="4"/>
  <c r="AK13" i="4"/>
  <c r="AK11" i="4"/>
  <c r="AI20" i="4"/>
  <c r="C41" i="1" s="1"/>
  <c r="AE36" i="4"/>
  <c r="L33" i="10" s="1"/>
  <c r="AE35" i="4"/>
  <c r="L32" i="10" s="1"/>
  <c r="AE38" i="4"/>
  <c r="L35" i="10" s="1"/>
  <c r="AE37" i="4"/>
  <c r="L34" i="10" s="1"/>
  <c r="AH20" i="4"/>
  <c r="C40" i="1" s="1"/>
  <c r="J42" i="10" l="1"/>
  <c r="M28" i="10" s="1"/>
  <c r="G24" i="3"/>
  <c r="L12" i="12"/>
  <c r="L14" i="12" s="1"/>
  <c r="I18" i="3"/>
  <c r="L42" i="6" s="1"/>
  <c r="I17" i="3"/>
  <c r="K33" i="6" s="1"/>
  <c r="I15" i="3"/>
  <c r="I40" i="6" s="1"/>
  <c r="I16" i="3"/>
  <c r="J39" i="6" s="1"/>
  <c r="I105" i="9"/>
  <c r="I107" i="9" s="1"/>
  <c r="C33" i="3"/>
  <c r="C35" i="3"/>
  <c r="C36" i="3"/>
  <c r="J50" i="11"/>
  <c r="K50" i="11" s="1"/>
  <c r="AK20" i="4"/>
  <c r="J31" i="6"/>
  <c r="K31" i="6"/>
  <c r="L31" i="6"/>
  <c r="I31" i="6"/>
  <c r="H37" i="6"/>
  <c r="H33" i="6"/>
  <c r="H38" i="6"/>
  <c r="H39" i="6"/>
  <c r="H43" i="6"/>
  <c r="H44" i="6"/>
  <c r="H40" i="6"/>
  <c r="H41" i="6"/>
  <c r="H36" i="6"/>
  <c r="H34" i="6"/>
  <c r="H42" i="6"/>
  <c r="H35" i="6"/>
  <c r="AE39" i="4"/>
  <c r="AE40" i="4"/>
  <c r="L50" i="11" l="1"/>
  <c r="H120" i="9" s="1"/>
  <c r="G28" i="10"/>
  <c r="C57" i="3"/>
  <c r="K46" i="11"/>
  <c r="C38" i="3"/>
  <c r="C32" i="3"/>
  <c r="J36" i="6"/>
  <c r="J44" i="6"/>
  <c r="J35" i="6"/>
  <c r="J42" i="6"/>
  <c r="J34" i="6"/>
  <c r="J40" i="6"/>
  <c r="J37" i="6"/>
  <c r="J38" i="6"/>
  <c r="K34" i="6"/>
  <c r="K41" i="6"/>
  <c r="K32" i="6"/>
  <c r="K36" i="6"/>
  <c r="L36" i="6"/>
  <c r="L37" i="6"/>
  <c r="L43" i="6"/>
  <c r="L41" i="6"/>
  <c r="L34" i="6"/>
  <c r="K39" i="6"/>
  <c r="J41" i="6"/>
  <c r="L38" i="6"/>
  <c r="J33" i="6"/>
  <c r="L44" i="6"/>
  <c r="L33" i="6"/>
  <c r="L35" i="6"/>
  <c r="L39" i="6"/>
  <c r="L40" i="6"/>
  <c r="L32" i="6"/>
  <c r="K38" i="6"/>
  <c r="K43" i="6"/>
  <c r="K37" i="6"/>
  <c r="K35" i="6"/>
  <c r="K44" i="6"/>
  <c r="I34" i="6"/>
  <c r="K42" i="6"/>
  <c r="K40" i="6"/>
  <c r="I37" i="6"/>
  <c r="I42" i="6"/>
  <c r="I44" i="6"/>
  <c r="I33" i="6"/>
  <c r="I36" i="6"/>
  <c r="I43" i="6"/>
  <c r="I39" i="6"/>
  <c r="I35" i="6"/>
  <c r="J32" i="6"/>
  <c r="J43" i="6"/>
  <c r="I38" i="6"/>
  <c r="I41" i="6"/>
  <c r="I32" i="6"/>
  <c r="C34" i="3" l="1"/>
  <c r="M44" i="6"/>
  <c r="Q55" i="11" s="1"/>
  <c r="M34" i="6"/>
  <c r="N34" i="6" s="1"/>
  <c r="M32" i="6"/>
  <c r="N32" i="6" s="1"/>
  <c r="M36" i="6"/>
  <c r="N36" i="6" s="1"/>
  <c r="M33" i="6"/>
  <c r="N33" i="6" s="1"/>
  <c r="M41" i="6"/>
  <c r="N41" i="6" s="1"/>
  <c r="M39" i="6"/>
  <c r="N39" i="6" s="1"/>
  <c r="M40" i="6"/>
  <c r="N40" i="6" s="1"/>
  <c r="M35" i="6"/>
  <c r="N35" i="6" s="1"/>
  <c r="M42" i="6"/>
  <c r="N42" i="6" s="1"/>
  <c r="M43" i="6"/>
  <c r="N43" i="6" s="1"/>
  <c r="M38" i="6"/>
  <c r="N38" i="6" s="1"/>
  <c r="M37" i="6"/>
  <c r="N37" i="6" s="1"/>
  <c r="AD30" i="4"/>
  <c r="AE30" i="4" s="1"/>
  <c r="J4" i="6" l="1"/>
  <c r="R55" i="11"/>
  <c r="J55" i="11"/>
  <c r="N44" i="6"/>
  <c r="J5" i="6"/>
  <c r="J7" i="6" s="1"/>
  <c r="AD27" i="4"/>
  <c r="AE27" i="4" s="1"/>
  <c r="E130" i="9" l="1"/>
  <c r="L58" i="3"/>
  <c r="K55" i="11"/>
  <c r="E10" i="10"/>
  <c r="E8" i="10"/>
  <c r="F130" i="9" l="1"/>
  <c r="M57" i="3"/>
  <c r="K28" i="10"/>
  <c r="G27" i="10"/>
  <c r="G29" i="10" s="1"/>
  <c r="K27" i="10"/>
  <c r="I27" i="10"/>
  <c r="K29" i="10" l="1"/>
  <c r="M27" i="10"/>
  <c r="I28" i="10"/>
  <c r="I29" i="10" s="1"/>
  <c r="M29" i="10" l="1"/>
  <c r="E46" i="10" s="1"/>
  <c r="C36" i="2" s="1"/>
  <c r="D36" i="2" l="1"/>
  <c r="D25" i="3" l="1"/>
  <c r="AD26" i="4" l="1"/>
  <c r="AE26" i="4" s="1"/>
  <c r="AD29" i="4" l="1"/>
  <c r="AE29" i="4" s="1"/>
  <c r="AD28" i="4" l="1"/>
  <c r="AE28" i="4" s="1"/>
  <c r="G26" i="3" l="1"/>
  <c r="C30" i="3"/>
  <c r="AH25" i="4"/>
  <c r="C60" i="4"/>
  <c r="O5" i="4"/>
  <c r="G10" i="4" s="1"/>
  <c r="D22" i="4"/>
  <c r="D21" i="4"/>
  <c r="D20" i="4"/>
  <c r="D19" i="4"/>
  <c r="D18" i="4"/>
  <c r="D17" i="4"/>
  <c r="D16" i="4"/>
  <c r="D15" i="4"/>
  <c r="D14" i="4"/>
  <c r="D13" i="4"/>
  <c r="D12" i="4"/>
  <c r="C22" i="4"/>
  <c r="C21" i="4"/>
  <c r="C20" i="4"/>
  <c r="C19" i="4"/>
  <c r="C18" i="4"/>
  <c r="C17" i="4"/>
  <c r="C16" i="4"/>
  <c r="C15" i="4"/>
  <c r="C14" i="4"/>
  <c r="C13" i="4"/>
  <c r="C12" i="4"/>
  <c r="D11" i="4"/>
  <c r="C11" i="4"/>
  <c r="D10" i="4"/>
  <c r="C10" i="4"/>
  <c r="F8" i="4"/>
  <c r="E8" i="4"/>
  <c r="D8" i="4"/>
  <c r="C8" i="4"/>
  <c r="E6" i="4"/>
  <c r="D6" i="4"/>
  <c r="C6" i="4"/>
  <c r="A18" i="3"/>
  <c r="A17" i="3"/>
  <c r="A16" i="3"/>
  <c r="A15" i="3"/>
  <c r="A14" i="3"/>
  <c r="A20" i="3"/>
  <c r="A19" i="3"/>
  <c r="L70" i="4" l="1"/>
  <c r="L69" i="4"/>
  <c r="L68" i="4"/>
  <c r="L67" i="4"/>
  <c r="L66" i="4"/>
  <c r="D68" i="4"/>
  <c r="L65" i="4"/>
  <c r="I67" i="4"/>
  <c r="D55" i="4"/>
  <c r="D54" i="4"/>
  <c r="D53" i="4"/>
  <c r="D52" i="4"/>
  <c r="E21" i="4"/>
  <c r="E19" i="4"/>
  <c r="E18" i="4"/>
  <c r="E15" i="4"/>
  <c r="G6" i="4"/>
  <c r="H22" i="1"/>
  <c r="E14" i="4" l="1"/>
  <c r="G63" i="4"/>
  <c r="D64" i="4"/>
  <c r="M63" i="4"/>
  <c r="E12" i="4"/>
  <c r="M66" i="4"/>
  <c r="E11" i="4"/>
  <c r="E22" i="4"/>
  <c r="E68" i="4"/>
  <c r="E16" i="4"/>
  <c r="E20" i="4"/>
  <c r="M69" i="4"/>
  <c r="E13" i="4"/>
  <c r="E17" i="4"/>
  <c r="D63" i="4"/>
  <c r="D62" i="4" s="1"/>
  <c r="E10" i="4"/>
  <c r="J22" i="1"/>
  <c r="D67" i="4"/>
  <c r="E67" i="4" s="1"/>
  <c r="D65" i="4" s="1"/>
  <c r="D69" i="4"/>
  <c r="E69" i="4" s="1"/>
  <c r="G64" i="4" s="1"/>
  <c r="H63" i="4" s="1"/>
  <c r="G11" i="4"/>
  <c r="O18" i="4" l="1"/>
  <c r="N15" i="4"/>
  <c r="N13" i="4"/>
  <c r="AH36" i="4"/>
  <c r="AH27" i="4"/>
  <c r="AH32" i="4"/>
  <c r="AH29" i="4"/>
  <c r="AH35" i="4"/>
  <c r="AH28" i="4"/>
  <c r="AH34" i="4"/>
  <c r="AH26" i="4"/>
  <c r="AI25" i="4"/>
  <c r="AJ25" i="4" s="1"/>
  <c r="L5" i="11" s="1"/>
  <c r="AH33" i="4"/>
  <c r="AH31" i="4"/>
  <c r="AH37" i="4"/>
  <c r="AH30" i="4"/>
  <c r="N19" i="4"/>
  <c r="N17" i="4"/>
  <c r="AE31" i="4"/>
  <c r="AB34" i="4" s="1"/>
  <c r="N14" i="4"/>
  <c r="O13" i="4"/>
  <c r="O14" i="4"/>
  <c r="P18" i="4"/>
  <c r="G20" i="4" s="1"/>
  <c r="P16" i="4"/>
  <c r="G18" i="4" s="1"/>
  <c r="O17" i="4"/>
  <c r="E64" i="4"/>
  <c r="P14" i="4"/>
  <c r="G16" i="4" s="1"/>
  <c r="P10" i="4"/>
  <c r="G12" i="4" s="1"/>
  <c r="P12" i="4"/>
  <c r="G14" i="4" s="1"/>
  <c r="N18" i="4"/>
  <c r="P15" i="4"/>
  <c r="G17" i="4" s="1"/>
  <c r="O15" i="4"/>
  <c r="O11" i="4"/>
  <c r="P11" i="4"/>
  <c r="G13" i="4" s="1"/>
  <c r="O16" i="4"/>
  <c r="O20" i="4"/>
  <c r="N16" i="4"/>
  <c r="N20" i="4"/>
  <c r="P19" i="4"/>
  <c r="G21" i="4" s="1"/>
  <c r="O19" i="4"/>
  <c r="O12" i="4"/>
  <c r="N12" i="4"/>
  <c r="P20" i="4"/>
  <c r="G22" i="4" s="1"/>
  <c r="P13" i="4"/>
  <c r="G15" i="4" s="1"/>
  <c r="P17" i="4"/>
  <c r="G19" i="4" s="1"/>
  <c r="F12" i="4"/>
  <c r="F18" i="4"/>
  <c r="F19" i="4"/>
  <c r="F14" i="4"/>
  <c r="F20" i="4"/>
  <c r="F10" i="4"/>
  <c r="H10" i="4" s="1"/>
  <c r="I10" i="4" s="1"/>
  <c r="F11" i="4"/>
  <c r="H11" i="4" s="1"/>
  <c r="I11" i="4" s="1"/>
  <c r="F13" i="4"/>
  <c r="F22" i="4"/>
  <c r="F17" i="4"/>
  <c r="F21" i="4"/>
  <c r="F15" i="4"/>
  <c r="F16" i="4"/>
  <c r="E63" i="4"/>
  <c r="M5" i="11" l="1"/>
  <c r="D111" i="9"/>
  <c r="AB35" i="4"/>
  <c r="H14" i="3"/>
  <c r="AI37" i="4"/>
  <c r="AJ37" i="4" s="1"/>
  <c r="L17" i="11" s="1"/>
  <c r="AI36" i="4"/>
  <c r="AJ36" i="4" s="1"/>
  <c r="L16" i="11" s="1"/>
  <c r="AI28" i="4"/>
  <c r="AJ28" i="4" s="1"/>
  <c r="L8" i="11" s="1"/>
  <c r="AI29" i="4"/>
  <c r="AJ29" i="4" s="1"/>
  <c r="L9" i="11" s="1"/>
  <c r="AI33" i="4"/>
  <c r="AJ33" i="4" s="1"/>
  <c r="L13" i="11" s="1"/>
  <c r="AI26" i="4"/>
  <c r="AI35" i="4"/>
  <c r="AJ35" i="4" s="1"/>
  <c r="L15" i="11" s="1"/>
  <c r="AI34" i="4"/>
  <c r="AJ34" i="4" s="1"/>
  <c r="L14" i="11" s="1"/>
  <c r="AB37" i="4"/>
  <c r="AB36" i="4"/>
  <c r="AB38" i="4"/>
  <c r="AI31" i="4"/>
  <c r="AJ31" i="4" s="1"/>
  <c r="L11" i="11" s="1"/>
  <c r="AI32" i="4"/>
  <c r="AJ32" i="4" s="1"/>
  <c r="L12" i="11" s="1"/>
  <c r="AI27" i="4"/>
  <c r="AJ27" i="4" s="1"/>
  <c r="L7" i="11" s="1"/>
  <c r="AI30" i="4"/>
  <c r="AJ30" i="4" s="1"/>
  <c r="L10" i="11" s="1"/>
  <c r="H20" i="4"/>
  <c r="I20" i="4" s="1"/>
  <c r="H16" i="4"/>
  <c r="I16" i="4" s="1"/>
  <c r="H18" i="4"/>
  <c r="I18" i="4" s="1"/>
  <c r="H12" i="4"/>
  <c r="I12" i="4" s="1"/>
  <c r="H22" i="4"/>
  <c r="I22" i="4" s="1"/>
  <c r="H14" i="4"/>
  <c r="I14" i="4" s="1"/>
  <c r="H15" i="4"/>
  <c r="I15" i="4" s="1"/>
  <c r="H17" i="4"/>
  <c r="I17" i="4" s="1"/>
  <c r="H13" i="4"/>
  <c r="I13" i="4" s="1"/>
  <c r="H21" i="4"/>
  <c r="I21" i="4" s="1"/>
  <c r="H19" i="4"/>
  <c r="I19" i="4" s="1"/>
  <c r="H18" i="3" l="1"/>
  <c r="H16" i="3"/>
  <c r="H15" i="3"/>
  <c r="H17" i="3"/>
  <c r="M7" i="11"/>
  <c r="D113" i="9"/>
  <c r="E111" i="9"/>
  <c r="AJ26" i="4"/>
  <c r="L6" i="11" s="1"/>
  <c r="AB40" i="4"/>
  <c r="AB39" i="4"/>
  <c r="I23" i="4"/>
  <c r="H23" i="4"/>
  <c r="Q37" i="11" l="1"/>
  <c r="G47" i="12" s="1"/>
  <c r="Q36" i="11"/>
  <c r="G46" i="12" s="1"/>
  <c r="E113" i="9"/>
  <c r="M8" i="11"/>
  <c r="D114" i="9"/>
  <c r="M17" i="11"/>
  <c r="D123" i="9"/>
  <c r="M12" i="11"/>
  <c r="D118" i="9"/>
  <c r="M15" i="11"/>
  <c r="D121" i="9"/>
  <c r="M13" i="11"/>
  <c r="D119" i="9"/>
  <c r="M6" i="11"/>
  <c r="D112" i="9"/>
  <c r="M16" i="11"/>
  <c r="D122" i="9"/>
  <c r="M9" i="11"/>
  <c r="D115" i="9"/>
  <c r="M10" i="11"/>
  <c r="D116" i="9"/>
  <c r="M11" i="11"/>
  <c r="D117" i="9"/>
  <c r="M14" i="11"/>
  <c r="D120" i="9"/>
  <c r="C54" i="3"/>
  <c r="C46" i="3"/>
  <c r="C45" i="3"/>
  <c r="C50" i="3"/>
  <c r="C48" i="3"/>
  <c r="C56" i="3"/>
  <c r="C53" i="3"/>
  <c r="C49" i="3"/>
  <c r="C47" i="3"/>
  <c r="K58" i="11"/>
  <c r="F127" i="9" s="1"/>
  <c r="J56" i="11"/>
  <c r="C52" i="3"/>
  <c r="C51" i="3"/>
  <c r="C55" i="3"/>
  <c r="D44" i="3"/>
  <c r="D46" i="3"/>
  <c r="I41" i="12" l="1"/>
  <c r="Q38" i="11"/>
  <c r="G45" i="12" s="1"/>
  <c r="I40" i="12"/>
  <c r="I38" i="12"/>
  <c r="E116" i="9"/>
  <c r="E114" i="9"/>
  <c r="D52" i="3"/>
  <c r="F128" i="9"/>
  <c r="D53" i="3"/>
  <c r="D48" i="3"/>
  <c r="E117" i="9"/>
  <c r="E123" i="9"/>
  <c r="D56" i="3"/>
  <c r="E120" i="9"/>
  <c r="D50" i="3"/>
  <c r="D49" i="3"/>
  <c r="E115" i="9"/>
  <c r="D47" i="3"/>
  <c r="E119" i="9"/>
  <c r="D45" i="3"/>
  <c r="E112" i="9"/>
  <c r="D54" i="3"/>
  <c r="E121" i="9"/>
  <c r="D51" i="3"/>
  <c r="E118" i="9"/>
  <c r="D55" i="3"/>
  <c r="E122" i="9"/>
  <c r="K56" i="11"/>
  <c r="L58" i="11"/>
  <c r="L54" i="3"/>
  <c r="L56" i="3"/>
  <c r="C44" i="3"/>
  <c r="I109" i="9"/>
  <c r="Q42" i="11" l="1"/>
  <c r="AQ24" i="4"/>
  <c r="AR24" i="4" s="1"/>
  <c r="AN24" i="4"/>
  <c r="AN27" i="4"/>
  <c r="AO27" i="4" s="1"/>
  <c r="AQ27" i="4"/>
  <c r="AR27" i="4" s="1"/>
  <c r="AQ36" i="4"/>
  <c r="AR36" i="4" s="1"/>
  <c r="AN36" i="4"/>
  <c r="AO36" i="4" s="1"/>
  <c r="AQ30" i="4"/>
  <c r="AR30" i="4" s="1"/>
  <c r="AN30" i="4"/>
  <c r="AO30" i="4" s="1"/>
  <c r="AN33" i="4"/>
  <c r="AO33" i="4" s="1"/>
  <c r="AQ33" i="4"/>
  <c r="AR33" i="4" s="1"/>
  <c r="AN35" i="4"/>
  <c r="AO35" i="4" s="1"/>
  <c r="AQ35" i="4"/>
  <c r="AR35" i="4" s="1"/>
  <c r="AN26" i="4"/>
  <c r="AO26" i="4" s="1"/>
  <c r="AQ26" i="4"/>
  <c r="AR26" i="4" s="1"/>
  <c r="AN32" i="4"/>
  <c r="AO32" i="4" s="1"/>
  <c r="AQ32" i="4"/>
  <c r="AR32" i="4" s="1"/>
  <c r="AQ34" i="4"/>
  <c r="AR34" i="4" s="1"/>
  <c r="AN34" i="4"/>
  <c r="AO34" i="4" s="1"/>
  <c r="AN28" i="4"/>
  <c r="AO28" i="4" s="1"/>
  <c r="AQ28" i="4"/>
  <c r="AR28" i="4" s="1"/>
  <c r="AN25" i="4"/>
  <c r="AO25" i="4" s="1"/>
  <c r="AQ25" i="4"/>
  <c r="AR25" i="4" s="1"/>
  <c r="AQ29" i="4"/>
  <c r="AR29" i="4" s="1"/>
  <c r="AN29" i="4"/>
  <c r="AO29" i="4" s="1"/>
  <c r="AN31" i="4"/>
  <c r="AO31" i="4" s="1"/>
  <c r="AQ31" i="4"/>
  <c r="AR31" i="4" s="1"/>
  <c r="H128" i="9"/>
  <c r="M54" i="3"/>
  <c r="H127" i="9"/>
  <c r="M56" i="3"/>
  <c r="P47" i="11" l="1"/>
  <c r="P45" i="11"/>
  <c r="Q45" i="11" s="1"/>
  <c r="P44" i="11"/>
  <c r="Q44" i="11" s="1"/>
  <c r="P46" i="11"/>
  <c r="P48" i="11" s="1"/>
  <c r="AO24" i="4"/>
  <c r="AN37" i="4" s="1"/>
  <c r="P12" i="12" s="1"/>
  <c r="AR37" i="4"/>
  <c r="P10" i="12" s="1"/>
  <c r="Q46" i="11" l="1"/>
  <c r="G50" i="12"/>
  <c r="Q47" i="11"/>
  <c r="G52" i="12" s="1"/>
  <c r="G51" i="12" l="1"/>
  <c r="R12" i="11"/>
  <c r="R14" i="11"/>
  <c r="R8" i="11"/>
  <c r="R5" i="11"/>
  <c r="R6" i="11"/>
  <c r="R17" i="11"/>
  <c r="R11" i="11"/>
  <c r="R13" i="11"/>
  <c r="R16" i="11"/>
  <c r="R7" i="11"/>
  <c r="R10" i="11"/>
  <c r="R9" i="11"/>
  <c r="R15" i="11"/>
  <c r="Q48" i="11"/>
  <c r="G53" i="12" s="1"/>
  <c r="P50" i="11"/>
  <c r="Q50" i="11" s="1"/>
  <c r="G49" i="12"/>
  <c r="S9" i="11" l="1"/>
  <c r="D49" i="12" s="1"/>
  <c r="S17" i="11"/>
  <c r="D57" i="12" s="1"/>
  <c r="S11" i="11"/>
  <c r="D51" i="12" s="1"/>
  <c r="S10" i="11"/>
  <c r="D50" i="12" s="1"/>
  <c r="S5" i="11"/>
  <c r="D45" i="12" s="1"/>
  <c r="S16" i="11"/>
  <c r="D56" i="12" s="1"/>
  <c r="S12" i="11"/>
  <c r="D52" i="12" s="1"/>
  <c r="S13" i="11"/>
  <c r="D53" i="12" s="1"/>
  <c r="S14" i="11"/>
  <c r="D54" i="12" s="1"/>
  <c r="S15" i="11"/>
  <c r="D55" i="12" s="1"/>
  <c r="S6" i="11"/>
  <c r="D46" i="12" s="1"/>
  <c r="S7" i="11"/>
  <c r="D47" i="12" s="1"/>
  <c r="S8" i="11"/>
  <c r="D48" i="12" s="1"/>
  <c r="Q56" i="11"/>
  <c r="R56" i="11" s="1"/>
  <c r="C52" i="12"/>
  <c r="C47" i="12"/>
  <c r="C51" i="12"/>
  <c r="C57" i="12"/>
  <c r="C54" i="12"/>
  <c r="R58" i="11"/>
  <c r="S58" i="11" s="1"/>
  <c r="C55" i="12"/>
  <c r="C49" i="12"/>
  <c r="C56" i="12"/>
  <c r="C45" i="12"/>
  <c r="C53" i="12"/>
  <c r="C46" i="12"/>
  <c r="C48" i="12"/>
  <c r="C50" i="12"/>
  <c r="R50" i="11"/>
  <c r="J46"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FINNELL, MARK W</author>
  </authors>
  <commentList>
    <comment ref="B22" authorId="0" shapeId="0" xr:uid="{D1C868FF-E3D1-4E62-8D50-21E84135C643}">
      <text>
        <r>
          <rPr>
            <b/>
            <sz val="9"/>
            <color indexed="81"/>
            <rFont val="Tahoma"/>
            <family val="2"/>
          </rPr>
          <t>Contains helpful notes.</t>
        </r>
      </text>
    </comment>
    <comment ref="B23" authorId="0" shapeId="0" xr:uid="{EA0BA8F1-9ECF-43BB-B29A-8504BB842A10}">
      <text>
        <r>
          <rPr>
            <b/>
            <sz val="9"/>
            <color indexed="81"/>
            <rFont val="Tahoma"/>
            <family val="2"/>
          </rPr>
          <t>Contains helpful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FINNELL, MARK W</author>
  </authors>
  <commentList>
    <comment ref="G38" authorId="0" shapeId="0" xr:uid="{ADE1D9B0-7D93-4720-9C51-03BD529FAF0F}">
      <text>
        <r>
          <rPr>
            <b/>
            <sz val="9"/>
            <color indexed="81"/>
            <rFont val="Tahoma"/>
            <family val="2"/>
          </rPr>
          <t xml:space="preserve">NOTE: </t>
        </r>
        <r>
          <rPr>
            <sz val="9"/>
            <color indexed="81"/>
            <rFont val="Tahoma"/>
            <family val="2"/>
          </rPr>
          <t>Range for additional cement: 95 - 280 lbs/cy
No input required for Type III cement.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FINNELL, MARK W</author>
  </authors>
  <commentList>
    <comment ref="B12" authorId="0" shapeId="0" xr:uid="{58BF7AC0-D39C-4209-B388-8C441E929C71}">
      <text>
        <r>
          <rPr>
            <b/>
            <sz val="11"/>
            <color indexed="81"/>
            <rFont val="Tahoma"/>
            <family val="2"/>
          </rPr>
          <t xml:space="preserve">NOTE:
</t>
        </r>
        <r>
          <rPr>
            <sz val="11"/>
            <color indexed="81"/>
            <rFont val="Tahoma"/>
            <family val="2"/>
          </rPr>
          <t xml:space="preserve">Please use the following abbreviations when possible:
Buzzi Unicem USA --&gt; Buzzi
Continental Cement Company --&gt; Contin. Cement
LaFarge/Holcim Company --&gt; LaFarge/Holcim
Lehigh Cement Company --&gt; Lehigh Cement
</t>
        </r>
      </text>
    </comment>
    <comment ref="E13" authorId="0" shapeId="0" xr:uid="{920BD907-5A61-4C9C-B443-F4DF23E013F5}">
      <text>
        <r>
          <rPr>
            <b/>
            <sz val="12"/>
            <color indexed="81"/>
            <rFont val="Tahoma"/>
            <family val="2"/>
          </rPr>
          <t xml:space="preserve">NOTE: </t>
        </r>
        <r>
          <rPr>
            <sz val="12"/>
            <color indexed="81"/>
            <rFont val="Tahoma"/>
            <family val="2"/>
          </rPr>
          <t>Cement S.G can be found on the Mill Certification. Use 3.15 if not reported.</t>
        </r>
        <r>
          <rPr>
            <b/>
            <sz val="9"/>
            <color indexed="81"/>
            <rFont val="Tahoma"/>
            <family val="2"/>
          </rPr>
          <t xml:space="preserve">
</t>
        </r>
      </text>
    </comment>
    <comment ref="A24" authorId="0" shapeId="0" xr:uid="{844B07D8-9B42-4C4C-8907-4BFD0A5CF449}">
      <text>
        <r>
          <rPr>
            <b/>
            <u/>
            <sz val="12"/>
            <color indexed="81"/>
            <rFont val="Tahoma"/>
            <family val="2"/>
          </rPr>
          <t>NOTE:</t>
        </r>
        <r>
          <rPr>
            <b/>
            <sz val="9"/>
            <color indexed="81"/>
            <rFont val="Tahoma"/>
            <family val="2"/>
          </rPr>
          <t xml:space="preserve"> </t>
        </r>
        <r>
          <rPr>
            <sz val="12"/>
            <color indexed="81"/>
            <rFont val="Tahoma"/>
            <family val="2"/>
          </rPr>
          <t>It is the responsibility of the user to select the appropriate Concrete Grade and Concrete Class for the project.</t>
        </r>
      </text>
    </comment>
    <comment ref="F45" authorId="0" shapeId="0" xr:uid="{819F4325-7C7A-4DD2-BF9C-CEE86B27ADCF}">
      <text>
        <r>
          <rPr>
            <b/>
            <sz val="12"/>
            <color indexed="81"/>
            <rFont val="Tahoma"/>
            <family val="2"/>
          </rPr>
          <t xml:space="preserve">NOTE: </t>
        </r>
        <r>
          <rPr>
            <sz val="12"/>
            <color indexed="81"/>
            <rFont val="Tahoma"/>
            <family val="2"/>
          </rPr>
          <t>This number can be found in Atwood Systems.
Test prefix is 131.
Only needed for well or surface water sources.</t>
        </r>
      </text>
    </comment>
    <comment ref="D49" authorId="0" shapeId="0" xr:uid="{BC055536-A0A4-4240-8A23-7E29DED0BA65}">
      <text>
        <r>
          <rPr>
            <b/>
            <sz val="12"/>
            <color indexed="81"/>
            <rFont val="Tahoma"/>
            <family val="2"/>
          </rPr>
          <t xml:space="preserve">NOTE: </t>
        </r>
        <r>
          <rPr>
            <sz val="12"/>
            <color indexed="81"/>
            <rFont val="Tahoma"/>
            <family val="2"/>
          </rPr>
          <t>For air entraining admixtures, use AE.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FINNELL, MARK W</author>
  </authors>
  <commentList>
    <comment ref="G54" authorId="0" shapeId="0" xr:uid="{E232BE61-2873-49B0-834E-1D93EA307EED}">
      <text>
        <r>
          <rPr>
            <sz val="12"/>
            <color indexed="81"/>
            <rFont val="Tahoma"/>
            <family val="2"/>
          </rPr>
          <t>The amount needed for workability.</t>
        </r>
      </text>
    </comment>
    <comment ref="G56" authorId="0" shapeId="0" xr:uid="{F6A2C8E2-5CBC-4DA0-A700-3B2B200F6F0F}">
      <text>
        <r>
          <rPr>
            <sz val="12"/>
            <color indexed="81"/>
            <rFont val="Tahoma"/>
            <family val="2"/>
          </rPr>
          <t>The amount needed for cohesion.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FINNELL, MARK W</author>
  </authors>
  <commentList>
    <comment ref="A38" authorId="0" shapeId="0" xr:uid="{FDA6CC22-A25C-4D6D-8562-EE329ECFC361}">
      <text>
        <r>
          <rPr>
            <b/>
            <sz val="10"/>
            <color indexed="81"/>
            <rFont val="Tahoma"/>
            <family val="2"/>
          </rPr>
          <t>THESE PERCENTAGES ARE NOT ROUNDED.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FINNELL, MARK W</author>
  </authors>
  <commentList>
    <comment ref="D12" authorId="0" shapeId="0" xr:uid="{CB97775B-E40E-49D8-AF54-CE286619F4A5}">
      <text>
        <r>
          <rPr>
            <sz val="12"/>
            <color indexed="81"/>
            <rFont val="Tahoma"/>
            <family val="2"/>
          </rPr>
          <t>Input a guess total aggregate weight: 2700 - 3500 lbs.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tc={8DC8BEB8-DE99-4CE3-90ED-107E1FCC9DEB}</author>
    <author>tc={B7743659-4CDC-4672-BE9C-CF320EC20EF0}</author>
  </authors>
  <commentList>
    <comment ref="I17" authorId="0" shapeId="0" xr:uid="{8DC8BEB8-DE99-4CE3-90ED-107E1FCC9DEB}">
      <text>
        <t>[Threaded comment]
Your version of Excel allows you to read this threaded comment; however, any edits to it will get removed if the file is opened in a newer version of Excel. Learn more: https://go.microsoft.com/fwlink/?linkid=870924
Comment:
    P200 Requirement.</t>
      </text>
    </comment>
    <comment ref="O17" authorId="1" shapeId="0" xr:uid="{B7743659-4CDC-4672-BE9C-CF320EC20EF0}">
      <text>
        <t>[Threaded comment]
Your version of Excel allows you to read this threaded comment; however, any edits to it will get removed if the file is opened in a newer version of Excel. Learn more: https://go.microsoft.com/fwlink/?linkid=870924
Comment:
    P200 Requirement.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<sst xmlns="http://schemas.openxmlformats.org/spreadsheetml/2006/main" count="1274" uniqueCount="608">
  <si>
    <t>Computation cells are locked</t>
  </si>
  <si>
    <t>Solver</t>
  </si>
  <si>
    <t xml:space="preserve"> </t>
  </si>
  <si>
    <t>GENERAL INSTRUCTIONS PRIOR TO USING THIS SPREADSHEET</t>
  </si>
  <si>
    <t>1)</t>
  </si>
  <si>
    <t>Upon downloading and opening the spreadsheet select Enable Editing if you get a protected view warning.</t>
  </si>
  <si>
    <t>2)</t>
  </si>
  <si>
    <t>3)</t>
  </si>
  <si>
    <t>Save the spreadsheet on your local computer.</t>
  </si>
  <si>
    <t>4)</t>
  </si>
  <si>
    <t>Close the spreadsheet</t>
  </si>
  <si>
    <t>5)</t>
  </si>
  <si>
    <t>Reopen the saved spreadsheet.</t>
  </si>
  <si>
    <t>Date</t>
  </si>
  <si>
    <t>Project Information</t>
  </si>
  <si>
    <t>Construction Project ID</t>
  </si>
  <si>
    <t>Contract ID</t>
  </si>
  <si>
    <t>Highway</t>
  </si>
  <si>
    <t>County</t>
  </si>
  <si>
    <t>Project Title</t>
  </si>
  <si>
    <t>Project Limits</t>
  </si>
  <si>
    <t>Prime Contractor</t>
  </si>
  <si>
    <t>Subcontractor (if applicable)</t>
  </si>
  <si>
    <t>Type</t>
  </si>
  <si>
    <t>Description</t>
  </si>
  <si>
    <t>S.G. (OD)</t>
  </si>
  <si>
    <t>S.G. (SSD)</t>
  </si>
  <si>
    <t>SIEVE ANALYSIS DATA</t>
  </si>
  <si>
    <t>Coarse</t>
  </si>
  <si>
    <t>Fine</t>
  </si>
  <si>
    <t>Sieve:</t>
  </si>
  <si>
    <t>% Pass</t>
  </si>
  <si>
    <t>%</t>
  </si>
  <si>
    <t>2"</t>
  </si>
  <si>
    <t>1 1/2"</t>
  </si>
  <si>
    <t>1"</t>
  </si>
  <si>
    <t>3/4"</t>
  </si>
  <si>
    <t>1/2"</t>
  </si>
  <si>
    <t>3/8"</t>
  </si>
  <si>
    <t># 4</t>
  </si>
  <si>
    <t># 8</t>
  </si>
  <si>
    <t># 16</t>
  </si>
  <si>
    <t># 30</t>
  </si>
  <si>
    <t># 50</t>
  </si>
  <si>
    <t># 100</t>
  </si>
  <si>
    <t># 200</t>
  </si>
  <si>
    <t>Sieves Retained on</t>
  </si>
  <si>
    <t>Limit</t>
  </si>
  <si>
    <t>Mix Retained (%)</t>
  </si>
  <si>
    <t>Results</t>
  </si>
  <si>
    <t>#30 - #200</t>
  </si>
  <si>
    <t>#8, #16, and #30</t>
  </si>
  <si>
    <t>&gt;15%</t>
  </si>
  <si>
    <t>TARANTULA RESULTS</t>
  </si>
  <si>
    <t>Sieve Size</t>
  </si>
  <si>
    <t>Spec Defined % Retained</t>
  </si>
  <si>
    <t>Proposed Retained Volumetric</t>
  </si>
  <si>
    <t>≤5</t>
  </si>
  <si>
    <t>≤16</t>
  </si>
  <si>
    <t>≤20</t>
  </si>
  <si>
    <t xml:space="preserve"> 4-20</t>
  </si>
  <si>
    <t>≤12</t>
  </si>
  <si>
    <t>≤10</t>
  </si>
  <si>
    <t>Manufacturer</t>
  </si>
  <si>
    <t>Source</t>
  </si>
  <si>
    <t>Type/Class/Grade:</t>
  </si>
  <si>
    <t>Specific Gravity (S.G.)</t>
  </si>
  <si>
    <t>Cement</t>
  </si>
  <si>
    <t>Fly Ash</t>
  </si>
  <si>
    <t xml:space="preserve">Slag </t>
  </si>
  <si>
    <t>w/cm</t>
  </si>
  <si>
    <t>Air %</t>
  </si>
  <si>
    <t>Slag</t>
  </si>
  <si>
    <t>WATER</t>
  </si>
  <si>
    <t>Gal</t>
  </si>
  <si>
    <t>Water</t>
  </si>
  <si>
    <t>ADMIXTURE</t>
  </si>
  <si>
    <t>Name</t>
  </si>
  <si>
    <t>MIXTURE PROPORTIONS</t>
  </si>
  <si>
    <t>Material</t>
  </si>
  <si>
    <t>TOTAL</t>
  </si>
  <si>
    <t>Cementitious</t>
  </si>
  <si>
    <t>vp/vv</t>
  </si>
  <si>
    <t>Power 45  Optimize</t>
  </si>
  <si>
    <t>Intermediate</t>
  </si>
  <si>
    <t>Total</t>
  </si>
  <si>
    <t>Ideal</t>
  </si>
  <si>
    <t>Least difference</t>
  </si>
  <si>
    <t>mm</t>
  </si>
  <si>
    <t>^45</t>
  </si>
  <si>
    <t>Mixture</t>
  </si>
  <si>
    <t>Haystack Limits</t>
  </si>
  <si>
    <t>C33</t>
  </si>
  <si>
    <t>Pumping curve</t>
  </si>
  <si>
    <t>Illinois Tollway</t>
  </si>
  <si>
    <t>Tick marks</t>
  </si>
  <si>
    <t>Tarantula</t>
  </si>
  <si>
    <t>Lower</t>
  </si>
  <si>
    <t>Upper</t>
  </si>
  <si>
    <t>3"</t>
  </si>
  <si>
    <t>1-1/2"</t>
  </si>
  <si>
    <t>Shilstone zones</t>
  </si>
  <si>
    <t>line 1</t>
  </si>
  <si>
    <t>line 2</t>
  </si>
  <si>
    <t>line 3</t>
  </si>
  <si>
    <t>line 4</t>
  </si>
  <si>
    <t>^45 lines</t>
  </si>
  <si>
    <t>Max size</t>
  </si>
  <si>
    <t>Max agg size</t>
  </si>
  <si>
    <t>Mix Type:</t>
  </si>
  <si>
    <t>Maximum Nominal Aggregate Size:</t>
  </si>
  <si>
    <t>Unit Weight By :</t>
  </si>
  <si>
    <t>Rodding</t>
  </si>
  <si>
    <t>Moisture Condition at Time of Test:</t>
  </si>
  <si>
    <t>Oven Dry</t>
  </si>
  <si>
    <t>Wt. of Sample and Container, lbs (A)</t>
  </si>
  <si>
    <t>Weight of Sample, lbs (A-B)</t>
  </si>
  <si>
    <t>Container Volume, cf (C)</t>
  </si>
  <si>
    <t>Avg.</t>
  </si>
  <si>
    <t>Dry Rodded Unit Weight, pcf (D)</t>
  </si>
  <si>
    <t>Avg. Agg. Bulk Specific Gravity (E)</t>
  </si>
  <si>
    <t>Void Content (%)</t>
  </si>
  <si>
    <t>Dry Rodded Unit Weight (D) =</t>
  </si>
  <si>
    <t>A-B</t>
  </si>
  <si>
    <t>(nearest 0.1 pcf)</t>
  </si>
  <si>
    <t>C</t>
  </si>
  <si>
    <t>Avg. Aggregate Specific Gravity (E)=</t>
  </si>
  <si>
    <t>=</t>
  </si>
  <si>
    <t>+</t>
  </si>
  <si>
    <t>(ASTM: C128/ AASHTO T85)</t>
  </si>
  <si>
    <t>Where:</t>
  </si>
  <si>
    <t>percentage of each aggregate in the mix</t>
  </si>
  <si>
    <t>appropriate Bulk SG of each aggregate in the mix</t>
  </si>
  <si>
    <t>Avg. Aggregate Specific Gravity (E) =</t>
  </si>
  <si>
    <t>Void Content =</t>
  </si>
  <si>
    <t>100 [(E x 62.3) - D]</t>
  </si>
  <si>
    <t>(nearest 1%)</t>
  </si>
  <si>
    <t>E x 62.3</t>
  </si>
  <si>
    <t>Concrete Mix Information</t>
  </si>
  <si>
    <t>Mix Grade</t>
  </si>
  <si>
    <t>MRS Mix # (132 Prefix)</t>
  </si>
  <si>
    <t>Mix to be used on following bid items:</t>
  </si>
  <si>
    <t>City</t>
  </si>
  <si>
    <t>State</t>
  </si>
  <si>
    <t>Zip Code</t>
  </si>
  <si>
    <t>Address</t>
  </si>
  <si>
    <t>Mix Designer Name (Print)</t>
  </si>
  <si>
    <t>HTCP #</t>
  </si>
  <si>
    <t>Company Name</t>
  </si>
  <si>
    <t>Workability Factor</t>
  </si>
  <si>
    <t>Adjustments</t>
  </si>
  <si>
    <t>Adjusted Workability Factor</t>
  </si>
  <si>
    <t>Shilstone Chart Data</t>
  </si>
  <si>
    <t>Coarseness Factor</t>
  </si>
  <si>
    <t>Wt. Of Unit Weight Container, lbs (B)</t>
  </si>
  <si>
    <t>NOTE:  Must use all 3 to get the correct average and for this spreadsheet to work</t>
  </si>
  <si>
    <t>Dosage (oz/cwt)</t>
  </si>
  <si>
    <t>Absorp (%)</t>
  </si>
  <si>
    <t>Coarse A</t>
  </si>
  <si>
    <t>Coarse B</t>
  </si>
  <si>
    <t>% Retained Volumetric</t>
  </si>
  <si>
    <t>GENERAL INSTRUCTIONS ON ENTERING DATA</t>
  </si>
  <si>
    <t>NOTES</t>
  </si>
  <si>
    <t>Data</t>
  </si>
  <si>
    <t>Data_Charts</t>
  </si>
  <si>
    <t>Various visual data representations of the blended aggregates</t>
  </si>
  <si>
    <t>SAM #</t>
  </si>
  <si>
    <t>during trial batching</t>
  </si>
  <si>
    <t>Box Test Eval.</t>
  </si>
  <si>
    <t>AGGREGATE CORRECTION FACTOR</t>
  </si>
  <si>
    <t>Source Name</t>
  </si>
  <si>
    <t>Test Number</t>
  </si>
  <si>
    <t>Rating # (if using)</t>
  </si>
  <si>
    <t>≤5.0</t>
  </si>
  <si>
    <t>Test #</t>
  </si>
  <si>
    <t>Source ID #</t>
  </si>
  <si>
    <t>Coarse C</t>
  </si>
  <si>
    <t>Fine A</t>
  </si>
  <si>
    <t>Fine B</t>
  </si>
  <si>
    <t>Fineness Modulus of Fine A</t>
  </si>
  <si>
    <t>Fineness Modulus of Fine B</t>
  </si>
  <si>
    <t>Wt.</t>
  </si>
  <si>
    <t>SG (SSD)</t>
  </si>
  <si>
    <t>Volume (ft^3)</t>
  </si>
  <si>
    <t>Vol. % Passing</t>
  </si>
  <si>
    <t>Vol. % Ret.</t>
  </si>
  <si>
    <t>Mass % Retained</t>
  </si>
  <si>
    <t>Cum. Mass % Ret.</t>
  </si>
  <si>
    <t>% Coarse A</t>
  </si>
  <si>
    <t>% Coarse B</t>
  </si>
  <si>
    <t>% Coarse C</t>
  </si>
  <si>
    <t>% Fine A</t>
  </si>
  <si>
    <t>% Fine B</t>
  </si>
  <si>
    <t>% Vol. Tot. Coarse</t>
  </si>
  <si>
    <t>% Vol. Tot. Fine</t>
  </si>
  <si>
    <t>Vol. Calculations</t>
  </si>
  <si>
    <t>Mass Calculations</t>
  </si>
  <si>
    <t>% Mass Tot. Coarse</t>
  </si>
  <si>
    <t>% Mass Tot. Fine</t>
  </si>
  <si>
    <t>DO NOT TOUCH! MODIFICATIONS MADE TO THIS SHEET WILL INVALIDATE THE PROPOSED MIXTURE DESIGN!!!</t>
  </si>
  <si>
    <t>Slip-form: 24%-34%</t>
  </si>
  <si>
    <t>Placement Type</t>
  </si>
  <si>
    <t>Pump</t>
  </si>
  <si>
    <t>Hand Placement</t>
  </si>
  <si>
    <t>Placement Method</t>
  </si>
  <si>
    <t>Slip-form</t>
  </si>
  <si>
    <t>Silica Fume</t>
  </si>
  <si>
    <t>CONCRETE MATERIAL PROPERTIES</t>
  </si>
  <si>
    <t>Other</t>
  </si>
  <si>
    <t>Total SCM Rep.</t>
  </si>
  <si>
    <t>Agg. % Volume</t>
  </si>
  <si>
    <t>TARANTULA RESULTS: FINE AGGREGATE LIMITS (From Table 501-4 in the Standard Specification)</t>
  </si>
  <si>
    <t>Mix % Passing</t>
  </si>
  <si>
    <t>% Passing</t>
  </si>
  <si>
    <t>Cum. % Ret.</t>
  </si>
  <si>
    <t>Combined by Mass %</t>
  </si>
  <si>
    <t>Aggregate Type</t>
  </si>
  <si>
    <t>Vol. % Combined Calcs</t>
  </si>
  <si>
    <t>Drop Down Menu</t>
  </si>
  <si>
    <t>Source Name/Manufacturer</t>
  </si>
  <si>
    <t>AGGREGATE SOURCES AND INFORMATION</t>
  </si>
  <si>
    <t>CEMENTITIOUS MATERIAL INFORMATION</t>
  </si>
  <si>
    <t>Void Content</t>
  </si>
  <si>
    <t>The charts located on this sheet are FOR INFORMATIONAL PURPOSES only!</t>
  </si>
  <si>
    <t>INFORMATIONAL PURPOSES ONLY</t>
  </si>
  <si>
    <t>Vol. of Fine Agg.</t>
  </si>
  <si>
    <t>Vol. of Coarse Agg.</t>
  </si>
  <si>
    <t>Vol. of paste</t>
  </si>
  <si>
    <t>Vol. of aggs</t>
  </si>
  <si>
    <t>Vol. of voids</t>
  </si>
  <si>
    <t>Fine Combined</t>
  </si>
  <si>
    <t>Calculating Comp. FM</t>
  </si>
  <si>
    <t>Composite FA Fineness Modulus</t>
  </si>
  <si>
    <t>Non-slip-formed</t>
  </si>
  <si>
    <t>Pumping, Hand Placement or Other: 24%-40%</t>
  </si>
  <si>
    <t>OTHER INFORMATION (FILL OUT IF 'OTHER' CELL IS FILLED)</t>
  </si>
  <si>
    <t>Material Name</t>
  </si>
  <si>
    <t>Liquid/Powder</t>
  </si>
  <si>
    <t>Material Type (Blended SCM, ASCM)</t>
  </si>
  <si>
    <t>SG</t>
  </si>
  <si>
    <t>CAG (+2 Agg.)</t>
  </si>
  <si>
    <t>LL</t>
  </si>
  <si>
    <t>UL</t>
  </si>
  <si>
    <t>% Mass</t>
  </si>
  <si>
    <t>&gt;1.25</t>
  </si>
  <si>
    <t>Shilstone Chart/Combined Aggregate Gradation</t>
  </si>
  <si>
    <t>lbs.</t>
  </si>
  <si>
    <t>MIXTURE VOLUMETRICS AND WEIGHTS</t>
  </si>
  <si>
    <t>Total Agg. Vol.</t>
  </si>
  <si>
    <t>Total Agg. Wt.</t>
  </si>
  <si>
    <t>lbs./cy</t>
  </si>
  <si>
    <t>Max Nominal Aggregate Size (in.)</t>
  </si>
  <si>
    <t>Project Engineer Name (Print)</t>
  </si>
  <si>
    <t>Fly-Ash</t>
  </si>
  <si>
    <t>Total Cementitious (lbs./cy)</t>
  </si>
  <si>
    <t>Class I: Pavement</t>
  </si>
  <si>
    <t>TYPE OF CONC. CONST.</t>
  </si>
  <si>
    <t>Class I: Barrier</t>
  </si>
  <si>
    <t>Class I: Structure</t>
  </si>
  <si>
    <t>Class II</t>
  </si>
  <si>
    <t>Class III</t>
  </si>
  <si>
    <t>MIN. TOTAL CEMENTITIOUS CONTENT (LBS./CY)</t>
  </si>
  <si>
    <t>501.3.2.3 &amp; 715.2.2 MIXTURE DESIGN REQUIREMENTS</t>
  </si>
  <si>
    <t>SCM REPLACEMENT AMOUNTS</t>
  </si>
  <si>
    <t>% Rep. by Wt. Cem.</t>
  </si>
  <si>
    <t>Mixture Design Req.</t>
  </si>
  <si>
    <t>Concrete Grade</t>
  </si>
  <si>
    <t>Cementitious Content</t>
  </si>
  <si>
    <t>Air Content</t>
  </si>
  <si>
    <t>Voids Content</t>
  </si>
  <si>
    <t>Tarantula Limits</t>
  </si>
  <si>
    <t>ASTM/AASHTO</t>
  </si>
  <si>
    <t>Combined P200: &lt;2.3%</t>
  </si>
  <si>
    <t>P200</t>
  </si>
  <si>
    <t>Coarse Sand</t>
  </si>
  <si>
    <t>Fine Sand</t>
  </si>
  <si>
    <t>Calc</t>
  </si>
  <si>
    <t>Test</t>
  </si>
  <si>
    <t>Result</t>
  </si>
  <si>
    <t>P200 Req.</t>
  </si>
  <si>
    <t>Combined % Passing</t>
  </si>
  <si>
    <t>Comb. % Passing Req.</t>
  </si>
  <si>
    <t>Vol</t>
  </si>
  <si>
    <t>Fly ash</t>
  </si>
  <si>
    <t>Air</t>
  </si>
  <si>
    <t>-</t>
  </si>
  <si>
    <t>Agg.</t>
  </si>
  <si>
    <t>Vol.</t>
  </si>
  <si>
    <t>CA</t>
  </si>
  <si>
    <t>FA</t>
  </si>
  <si>
    <t>% Totals</t>
  </si>
  <si>
    <t>Vol. Voids</t>
  </si>
  <si>
    <t>P200 ≤ 2.3%</t>
  </si>
  <si>
    <r>
      <t>There is an allowable tolerance of +/- .05 ft.</t>
    </r>
    <r>
      <rPr>
        <vertAlign val="superscript"/>
        <sz val="11"/>
        <rFont val="Calibri"/>
        <family val="2"/>
        <scheme val="minor"/>
      </rPr>
      <t>3</t>
    </r>
    <r>
      <rPr>
        <sz val="11"/>
        <rFont val="Calibri"/>
        <family val="2"/>
        <scheme val="minor"/>
      </rPr>
      <t xml:space="preserve"> from the 27.2 ft.</t>
    </r>
    <r>
      <rPr>
        <vertAlign val="superscript"/>
        <sz val="11"/>
        <rFont val="Calibri"/>
        <family val="2"/>
        <scheme val="minor"/>
      </rPr>
      <t>3</t>
    </r>
    <r>
      <rPr>
        <sz val="11"/>
        <rFont val="Calibri"/>
        <family val="2"/>
        <scheme val="minor"/>
      </rPr>
      <t xml:space="preserve"> requirement</t>
    </r>
  </si>
  <si>
    <t>Concrete Paving Company</t>
  </si>
  <si>
    <t>SECTION A - Project Information</t>
  </si>
  <si>
    <t>Construction Project ID(s)</t>
  </si>
  <si>
    <t>Project Engineer / Company</t>
  </si>
  <si>
    <t>SECTION B - Concrete Contractor Information</t>
  </si>
  <si>
    <t>Telephone Number</t>
  </si>
  <si>
    <t>Main Address</t>
  </si>
  <si>
    <t>SECTION C - Concrete Supplier Information</t>
  </si>
  <si>
    <t>Concrete Supplier Company</t>
  </si>
  <si>
    <t>SECTION D - Concrete Mix Information</t>
  </si>
  <si>
    <t>Contractor Mix ID</t>
  </si>
  <si>
    <t>Bid Item No.</t>
  </si>
  <si>
    <t>Concrete Plant Name / Location</t>
  </si>
  <si>
    <t>Plant Type</t>
  </si>
  <si>
    <t>I certify that this mix design meets WisDOT specification requirements. The design is based on the documented material sources, types and proportions documented during the trial batching process and is only valid for these constituents and proportions. Any change in a constituent type or source will require reevaluation of the mix design by a certified mix designer.
**Disclaimer: This mix design is to be used by the parties indicated on this certification for construction purposes. This mix design does not guarantee the results in the field due to the variability of construction operations.</t>
  </si>
  <si>
    <t>Email</t>
  </si>
  <si>
    <t>I certify that I have reviewed the mix design. All the sources listed in this mix design are approved per WisDOT specifications or written approval of the department. I have confirmed the sources in this mix design are accurate with the Contractor's submitted Quality Control Plan. I acknowledge that any source change from this mix design requires reevaluation by a certified mix designer.</t>
  </si>
  <si>
    <t>Signature (Wet or Digital)</t>
  </si>
  <si>
    <t>Wt. Cem</t>
  </si>
  <si>
    <t>ASTM/AASHTO Type (AE,A,B,C,D,..)</t>
  </si>
  <si>
    <t>AGGREGATE INFORMATION</t>
  </si>
  <si>
    <t>Input</t>
  </si>
  <si>
    <t>Aggregate Source Checks</t>
  </si>
  <si>
    <t>Cementitious Material Source Checks</t>
  </si>
  <si>
    <t>Type/Class/Grade</t>
  </si>
  <si>
    <t>Water Source Check</t>
  </si>
  <si>
    <t>CHEMICAL ADMIXTURE INFORMATION</t>
  </si>
  <si>
    <t>Dosage (oz./cwt)</t>
  </si>
  <si>
    <t>Chemical Admixture Checks</t>
  </si>
  <si>
    <t>Dosage</t>
  </si>
  <si>
    <t>Input: % Retained, Vol.</t>
  </si>
  <si>
    <t>Admix</t>
  </si>
  <si>
    <t>AGGREGATE CORRECTION FACTOR (%)</t>
  </si>
  <si>
    <t>Source Id #</t>
  </si>
  <si>
    <t>Concatenated Result</t>
  </si>
  <si>
    <t>Source Name / Source ID</t>
  </si>
  <si>
    <t>Target w/cm</t>
  </si>
  <si>
    <t>TO THE ENGINEER: ONLY SIGN AFTER DISCUSSING THE REASON FOR SCM EXEMPTION</t>
  </si>
  <si>
    <t>1 Certification</t>
  </si>
  <si>
    <t>Inputs ONLY go in cells that are CANARY YELLOW</t>
  </si>
  <si>
    <t>3 Paste Quality</t>
  </si>
  <si>
    <t>Input 27.2 in the 'To:' field in Solver</t>
  </si>
  <si>
    <t>Select the desired cell or cells with the aggregate weight to be changed in the 'By Changing Variable Cells' field in Solver</t>
  </si>
  <si>
    <r>
      <t xml:space="preserve">Signature </t>
    </r>
    <r>
      <rPr>
        <sz val="7"/>
        <rFont val="Calibri"/>
        <family val="2"/>
        <scheme val="minor"/>
      </rPr>
      <t>(Wet or Digital)</t>
    </r>
  </si>
  <si>
    <r>
      <t>SSD Wts. (lbs./yd</t>
    </r>
    <r>
      <rPr>
        <b/>
        <vertAlign val="superscript"/>
        <sz val="10"/>
        <rFont val="Calibri"/>
        <family val="2"/>
        <scheme val="minor"/>
      </rPr>
      <t>3</t>
    </r>
    <r>
      <rPr>
        <b/>
        <sz val="10"/>
        <rFont val="Calibri"/>
        <family val="2"/>
        <scheme val="minor"/>
      </rPr>
      <t>)</t>
    </r>
  </si>
  <si>
    <r>
      <t>Volume (ft</t>
    </r>
    <r>
      <rPr>
        <b/>
        <vertAlign val="superscript"/>
        <sz val="10"/>
        <color theme="1"/>
        <rFont val="Calibri"/>
        <family val="2"/>
        <scheme val="minor"/>
      </rPr>
      <t>3</t>
    </r>
    <r>
      <rPr>
        <b/>
        <sz val="10"/>
        <color theme="1"/>
        <rFont val="Calibri"/>
        <family val="2"/>
        <scheme val="minor"/>
      </rPr>
      <t>)</t>
    </r>
  </si>
  <si>
    <r>
      <t>Tot. Vol. (ft</t>
    </r>
    <r>
      <rPr>
        <b/>
        <vertAlign val="superscript"/>
        <sz val="10"/>
        <color theme="1"/>
        <rFont val="Calibri"/>
        <family val="2"/>
        <scheme val="minor"/>
      </rPr>
      <t>3</t>
    </r>
    <r>
      <rPr>
        <b/>
        <sz val="10"/>
        <color theme="1"/>
        <rFont val="Calibri"/>
        <family val="2"/>
        <scheme val="minor"/>
      </rPr>
      <t>)</t>
    </r>
  </si>
  <si>
    <r>
      <t xml:space="preserve">= </t>
    </r>
    <r>
      <rPr>
        <sz val="12"/>
        <rFont val="Calibri"/>
        <family val="2"/>
      </rPr>
      <t>from Voids WS</t>
    </r>
  </si>
  <si>
    <r>
      <t>SSD Weight (lbs./yd</t>
    </r>
    <r>
      <rPr>
        <vertAlign val="superscript"/>
        <sz val="12"/>
        <rFont val="Calibri"/>
        <family val="2"/>
      </rPr>
      <t>3</t>
    </r>
    <r>
      <rPr>
        <sz val="12"/>
        <rFont val="Calibri"/>
        <family val="2"/>
      </rPr>
      <t>)</t>
    </r>
  </si>
  <si>
    <r>
      <t>Abs. Volume (ft</t>
    </r>
    <r>
      <rPr>
        <vertAlign val="superscript"/>
        <sz val="12"/>
        <rFont val="Calibri"/>
        <family val="2"/>
      </rPr>
      <t>3</t>
    </r>
    <r>
      <rPr>
        <sz val="12"/>
        <rFont val="Calibri"/>
        <family val="2"/>
      </rPr>
      <t>)</t>
    </r>
  </si>
  <si>
    <r>
      <t>ft</t>
    </r>
    <r>
      <rPr>
        <vertAlign val="superscript"/>
        <sz val="12"/>
        <rFont val="Calibri"/>
        <family val="2"/>
      </rPr>
      <t>3</t>
    </r>
  </si>
  <si>
    <r>
      <t xml:space="preserve">UNIT WEIGHT/VOIDS IN AGGREGATE - </t>
    </r>
    <r>
      <rPr>
        <sz val="10"/>
        <rFont val="Calibri"/>
        <family val="2"/>
        <scheme val="minor"/>
      </rPr>
      <t>AASHTO T19/ ASTM: C29</t>
    </r>
  </si>
  <si>
    <r>
      <t>P</t>
    </r>
    <r>
      <rPr>
        <vertAlign val="subscript"/>
        <sz val="12"/>
        <rFont val="Calibri"/>
        <family val="2"/>
        <scheme val="minor"/>
      </rPr>
      <t>CA-A</t>
    </r>
  </si>
  <si>
    <r>
      <t>P</t>
    </r>
    <r>
      <rPr>
        <vertAlign val="subscript"/>
        <sz val="12"/>
        <rFont val="Calibri"/>
        <family val="2"/>
        <scheme val="minor"/>
      </rPr>
      <t>CA-B</t>
    </r>
  </si>
  <si>
    <r>
      <t>P</t>
    </r>
    <r>
      <rPr>
        <vertAlign val="subscript"/>
        <sz val="12"/>
        <rFont val="Calibri"/>
        <family val="2"/>
        <scheme val="minor"/>
      </rPr>
      <t>CA-C</t>
    </r>
  </si>
  <si>
    <r>
      <t>P</t>
    </r>
    <r>
      <rPr>
        <vertAlign val="subscript"/>
        <sz val="12"/>
        <rFont val="Calibri"/>
        <family val="2"/>
        <scheme val="minor"/>
      </rPr>
      <t>FA-A</t>
    </r>
  </si>
  <si>
    <r>
      <t>P</t>
    </r>
    <r>
      <rPr>
        <i/>
        <vertAlign val="subscript"/>
        <sz val="12"/>
        <rFont val="Calibri"/>
        <family val="2"/>
        <scheme val="minor"/>
      </rPr>
      <t>n</t>
    </r>
  </si>
  <si>
    <r>
      <t>P</t>
    </r>
    <r>
      <rPr>
        <vertAlign val="subscript"/>
        <sz val="12"/>
        <rFont val="Calibri"/>
        <family val="2"/>
        <scheme val="minor"/>
      </rPr>
      <t>FA-B</t>
    </r>
  </si>
  <si>
    <r>
      <t>100G</t>
    </r>
    <r>
      <rPr>
        <vertAlign val="subscript"/>
        <sz val="12"/>
        <rFont val="Calibri"/>
        <family val="2"/>
        <scheme val="minor"/>
      </rPr>
      <t>CA-A</t>
    </r>
  </si>
  <si>
    <r>
      <t>100G</t>
    </r>
    <r>
      <rPr>
        <vertAlign val="subscript"/>
        <sz val="12"/>
        <rFont val="Calibri"/>
        <family val="2"/>
        <scheme val="minor"/>
      </rPr>
      <t>FA-A</t>
    </r>
  </si>
  <si>
    <r>
      <t>100G</t>
    </r>
    <r>
      <rPr>
        <i/>
        <vertAlign val="subscript"/>
        <sz val="12"/>
        <rFont val="Calibri"/>
        <family val="2"/>
        <scheme val="minor"/>
      </rPr>
      <t>n</t>
    </r>
  </si>
  <si>
    <r>
      <t>G</t>
    </r>
    <r>
      <rPr>
        <vertAlign val="subscript"/>
        <sz val="12"/>
        <rFont val="Calibri"/>
        <family val="2"/>
        <scheme val="minor"/>
      </rPr>
      <t>CA-A</t>
    </r>
  </si>
  <si>
    <r>
      <t>G</t>
    </r>
    <r>
      <rPr>
        <vertAlign val="subscript"/>
        <sz val="12"/>
        <rFont val="Calibri"/>
        <family val="2"/>
        <scheme val="minor"/>
      </rPr>
      <t>CA-B</t>
    </r>
  </si>
  <si>
    <r>
      <t>G</t>
    </r>
    <r>
      <rPr>
        <vertAlign val="subscript"/>
        <sz val="12"/>
        <rFont val="Calibri"/>
        <family val="2"/>
        <scheme val="minor"/>
      </rPr>
      <t>CA-C</t>
    </r>
  </si>
  <si>
    <r>
      <t>G</t>
    </r>
    <r>
      <rPr>
        <vertAlign val="subscript"/>
        <sz val="12"/>
        <rFont val="Calibri"/>
        <family val="2"/>
        <scheme val="minor"/>
      </rPr>
      <t>FA-A</t>
    </r>
  </si>
  <si>
    <r>
      <t>G</t>
    </r>
    <r>
      <rPr>
        <vertAlign val="subscript"/>
        <sz val="12"/>
        <rFont val="Calibri"/>
        <family val="2"/>
        <scheme val="minor"/>
      </rPr>
      <t>FA-B</t>
    </r>
  </si>
  <si>
    <t>→</t>
  </si>
  <si>
    <t>Target Volume of Air (%)</t>
  </si>
  <si>
    <t>Target Air Content (%)</t>
  </si>
  <si>
    <t>Water (Gallons)</t>
  </si>
  <si>
    <t xml:space="preserve">CONCRETE MIXTURE DESIGN - OPTIMIZED AGGREGATE GRADATION              </t>
  </si>
  <si>
    <t>Wisconsin Department of Transportation</t>
  </si>
  <si>
    <t>Box Test</t>
  </si>
  <si>
    <t>SAM Number</t>
  </si>
  <si>
    <t>WisDOT STAFF ONLY: A Regional Materials Engineer is the only signature allowed in the signature field. Digital and/or physical.</t>
  </si>
  <si>
    <t>Any signature other than the WisDOT Regional Materials Engineer will void the proposed mixture design.</t>
  </si>
  <si>
    <t>The purpose of this section is to cover SCMs that are NOT fly-ash, slag or silica fume.</t>
  </si>
  <si>
    <t>If the placement method is not selected from the drop down menu, an error message will be present in the Fine Aggregate Limits Section.</t>
  </si>
  <si>
    <t>This form must filled out using a computer. Signatures do not have to be filled out digitally.</t>
  </si>
  <si>
    <t>2 Aggregate System</t>
  </si>
  <si>
    <t>Design Date:</t>
  </si>
  <si>
    <t>Text may be cut off due to difference in computer graphics or versions of Excel.</t>
  </si>
  <si>
    <t>It is best to use Excel 2016 or newer.</t>
  </si>
  <si>
    <t>CONCRETE MIXTURE DESIGN - OPTIMIZED AGGREGATE GRADATION</t>
  </si>
  <si>
    <t xml:space="preserve">CONCRETE MIXTURE DESIGN - OPTIMIZED AGGREGATE GRADATION                                            </t>
  </si>
  <si>
    <t xml:space="preserve">CONCRETE MIXTURE DESIGN - OPTIMIZED AGGREGATE GRADATION            </t>
  </si>
  <si>
    <t>Tarantula Fit</t>
  </si>
  <si>
    <t>High</t>
  </si>
  <si>
    <t>Low</t>
  </si>
  <si>
    <t>Middle</t>
  </si>
  <si>
    <t>Error</t>
  </si>
  <si>
    <t>Error^2</t>
  </si>
  <si>
    <t>Sum of Error^2</t>
  </si>
  <si>
    <t>Sum of Taran. Error^2</t>
  </si>
  <si>
    <t>Limit (%)</t>
  </si>
  <si>
    <t>Fine Aggregate Tests for '4 Mix Design'</t>
  </si>
  <si>
    <t>Fine Aggregate Tests for 'Opt. Tool'</t>
  </si>
  <si>
    <t>4 Mix Design % Vol. and % Mass Calcs</t>
  </si>
  <si>
    <t>Taran. Error</t>
  </si>
  <si>
    <t>% Vol. of Agg.</t>
  </si>
  <si>
    <r>
      <t>Wt. from Opt. Tool (lbs./yd</t>
    </r>
    <r>
      <rPr>
        <vertAlign val="superscript"/>
        <sz val="12"/>
        <color theme="1"/>
        <rFont val="Calibri"/>
        <family val="2"/>
      </rPr>
      <t>3</t>
    </r>
    <r>
      <rPr>
        <sz val="12"/>
        <color theme="1"/>
        <rFont val="Calibri"/>
        <family val="2"/>
      </rPr>
      <t>)</t>
    </r>
  </si>
  <si>
    <t>S.G.</t>
  </si>
  <si>
    <t>Agg. % Wt.</t>
  </si>
  <si>
    <t>Vol. % Pass for Solver on Opt. Tool</t>
  </si>
  <si>
    <t>% Comb.</t>
  </si>
  <si>
    <t>Municipal</t>
  </si>
  <si>
    <t>B</t>
  </si>
  <si>
    <t>Air (%)</t>
  </si>
  <si>
    <t>Total Aggregate Weight (lbs.)</t>
  </si>
  <si>
    <r>
      <t xml:space="preserve">THIS FORM IS </t>
    </r>
    <r>
      <rPr>
        <b/>
        <u/>
        <sz val="11"/>
        <color rgb="FFFF0000"/>
        <rFont val="Calibri"/>
        <family val="2"/>
        <scheme val="minor"/>
      </rPr>
      <t>ONLY</t>
    </r>
    <r>
      <rPr>
        <b/>
        <sz val="11"/>
        <color rgb="FFFF0000"/>
        <rFont val="Calibri"/>
        <family val="2"/>
        <scheme val="minor"/>
      </rPr>
      <t xml:space="preserve"> MEANT FOR CONCRETE MIXTURE DESIGNS.</t>
    </r>
  </si>
  <si>
    <t>Opt. Result</t>
  </si>
  <si>
    <t>Optimize Tool: Tarantula Check</t>
  </si>
  <si>
    <t>Sheet 4 Result</t>
  </si>
  <si>
    <t>% Wt.</t>
  </si>
  <si>
    <t>Optimize Tool: Mixture Volumetrics</t>
  </si>
  <si>
    <t>S.G. Errors</t>
  </si>
  <si>
    <t>3 Paste Quality Checks</t>
  </si>
  <si>
    <t>Water Test</t>
  </si>
  <si>
    <t>Well</t>
  </si>
  <si>
    <t>Surface</t>
  </si>
  <si>
    <t>SCM Checks</t>
  </si>
  <si>
    <t>Rep. (%)</t>
  </si>
  <si>
    <t>SCM Limit</t>
  </si>
  <si>
    <t>Wt. of SCM</t>
  </si>
  <si>
    <t>Total Rep.</t>
  </si>
  <si>
    <t>Tot. Vol. Agg.</t>
  </si>
  <si>
    <r>
      <t>ft</t>
    </r>
    <r>
      <rPr>
        <vertAlign val="superscript"/>
        <sz val="12"/>
        <color theme="1"/>
        <rFont val="Calibri"/>
        <family val="2"/>
      </rPr>
      <t>3</t>
    </r>
  </si>
  <si>
    <t>Vol. of CA</t>
  </si>
  <si>
    <t>Vol. of FA</t>
  </si>
  <si>
    <t>Vol. of Cemtit.</t>
  </si>
  <si>
    <t>% Vol. of CA</t>
  </si>
  <si>
    <t>% Vol. of FA</t>
  </si>
  <si>
    <t>% Vol. of Paste</t>
  </si>
  <si>
    <t>% Vol. of Voids</t>
  </si>
  <si>
    <t>vp/vv (&gt;1.25)</t>
  </si>
  <si>
    <t>MIXTURE VOLUMETRICS</t>
  </si>
  <si>
    <t>Optimize Tool: Mixture Proportions</t>
  </si>
  <si>
    <t>4 Mix Design: Mixture Proportions</t>
  </si>
  <si>
    <t>4 Mix Design: Tarantula Check</t>
  </si>
  <si>
    <t>4 Mix Design: Mixture Volumetrics</t>
  </si>
  <si>
    <t>The specific gravity (S.G.) of the aggregate needs to be the Oven Dry (OD) S.G.</t>
  </si>
  <si>
    <r>
      <t>P</t>
    </r>
    <r>
      <rPr>
        <vertAlign val="subscript"/>
        <sz val="12"/>
        <rFont val="Calibri"/>
        <family val="2"/>
        <scheme val="minor"/>
      </rPr>
      <t>CA-A</t>
    </r>
    <r>
      <rPr>
        <sz val="12"/>
        <rFont val="Calibri"/>
        <family val="2"/>
        <scheme val="minor"/>
      </rPr>
      <t>, P</t>
    </r>
    <r>
      <rPr>
        <vertAlign val="subscript"/>
        <sz val="12"/>
        <rFont val="Calibri"/>
        <family val="2"/>
        <scheme val="minor"/>
      </rPr>
      <t>CA-B</t>
    </r>
    <r>
      <rPr>
        <sz val="12"/>
        <rFont val="Calibri"/>
        <family val="2"/>
        <scheme val="minor"/>
      </rPr>
      <t>, . . .P</t>
    </r>
    <r>
      <rPr>
        <i/>
        <vertAlign val="subscript"/>
        <sz val="12"/>
        <rFont val="Calibri"/>
        <family val="2"/>
        <scheme val="minor"/>
      </rPr>
      <t>n</t>
    </r>
    <r>
      <rPr>
        <sz val="12"/>
        <rFont val="Calibri"/>
        <family val="2"/>
        <scheme val="minor"/>
      </rPr>
      <t xml:space="preserve"> =</t>
    </r>
  </si>
  <si>
    <r>
      <t>G</t>
    </r>
    <r>
      <rPr>
        <vertAlign val="subscript"/>
        <sz val="12"/>
        <rFont val="Calibri"/>
        <family val="2"/>
        <scheme val="minor"/>
      </rPr>
      <t>CA-A</t>
    </r>
    <r>
      <rPr>
        <sz val="12"/>
        <rFont val="Calibri"/>
        <family val="2"/>
        <scheme val="minor"/>
      </rPr>
      <t>, G</t>
    </r>
    <r>
      <rPr>
        <vertAlign val="subscript"/>
        <sz val="12"/>
        <rFont val="Calibri"/>
        <family val="2"/>
        <scheme val="minor"/>
      </rPr>
      <t>CA-B</t>
    </r>
    <r>
      <rPr>
        <sz val="12"/>
        <rFont val="Calibri"/>
        <family val="2"/>
        <scheme val="minor"/>
      </rPr>
      <t>, . . .G</t>
    </r>
    <r>
      <rPr>
        <i/>
        <vertAlign val="subscript"/>
        <sz val="12"/>
        <rFont val="Calibri"/>
        <family val="2"/>
        <scheme val="minor"/>
      </rPr>
      <t>n</t>
    </r>
    <r>
      <rPr>
        <sz val="12"/>
        <rFont val="Calibri"/>
        <family val="2"/>
        <scheme val="minor"/>
      </rPr>
      <t xml:space="preserve"> =</t>
    </r>
  </si>
  <si>
    <t>Tot. Vol Limit</t>
  </si>
  <si>
    <t>Abs. Vol Limit</t>
  </si>
  <si>
    <t>P200 Limit</t>
  </si>
  <si>
    <t>FA Upper Limit</t>
  </si>
  <si>
    <t>FA Lower Limit</t>
  </si>
  <si>
    <t>Sum of Agg. % Wt.</t>
  </si>
  <si>
    <t>X</t>
  </si>
  <si>
    <t>See 501.2.4.2.4 for restrictions on silica fume.</t>
  </si>
  <si>
    <t>These include a variety of ASCMs or blended SCMs that may be allowed under the active Standard Specification.</t>
  </si>
  <si>
    <t>Source Type</t>
  </si>
  <si>
    <r>
      <t xml:space="preserve">HES Modification </t>
    </r>
    <r>
      <rPr>
        <i/>
        <sz val="10"/>
        <color rgb="FFFF0000"/>
        <rFont val="Calibri"/>
        <family val="2"/>
        <scheme val="minor"/>
      </rPr>
      <t>(Select One)</t>
    </r>
  </si>
  <si>
    <t>HES Check</t>
  </si>
  <si>
    <t>CONCRETE GRADE</t>
  </si>
  <si>
    <t>A</t>
  </si>
  <si>
    <t>E</t>
  </si>
  <si>
    <t>HES Checks</t>
  </si>
  <si>
    <t>Type III Cement</t>
  </si>
  <si>
    <t>Additional Cement</t>
  </si>
  <si>
    <t>MAX. DESIGN W/CM</t>
  </si>
  <si>
    <t>HES MODIFICATIONS</t>
  </si>
  <si>
    <t>Option Selected</t>
  </si>
  <si>
    <t>Concrete Class</t>
  </si>
  <si>
    <t>4 Mix Design</t>
  </si>
  <si>
    <t>to print to a PDF are covered here.</t>
  </si>
  <si>
    <r>
      <t xml:space="preserve">All DT2221 Forms must be submitted in a PDF format. </t>
    </r>
    <r>
      <rPr>
        <sz val="11"/>
        <color theme="1"/>
        <rFont val="Calibri"/>
        <family val="2"/>
        <scheme val="minor"/>
      </rPr>
      <t>Instructions on which worksheets are needed for submittals and how</t>
    </r>
  </si>
  <si>
    <t>General</t>
  </si>
  <si>
    <t>The DT2221 Form needs to be submitted in a digital format per 710.4 (2). No other format will be accepted.</t>
  </si>
  <si>
    <t>Optimize Tool</t>
  </si>
  <si>
    <t>Directions</t>
  </si>
  <si>
    <t>Printing Directions</t>
  </si>
  <si>
    <t>5 Unit Wt_Voids in Agg</t>
  </si>
  <si>
    <t>Printing Instructions: Which Sheets to Print for Concrete Mixture Design Submittal (DT2221)</t>
  </si>
  <si>
    <t>2: Save the Excel File before printing.</t>
  </si>
  <si>
    <t>3: Click on the '1 Certification' workbook.</t>
  </si>
  <si>
    <t>4: Hold down the Control (CTRL) key or Shift key and select the following workbooks with your mouse:</t>
  </si>
  <si>
    <t>It is best to use the Control key to select the multiple workbooks</t>
  </si>
  <si>
    <t>Various print PDF options: Microsoft Print to PDF, Adobe PDF, Bluebeam PDF</t>
  </si>
  <si>
    <t>7: Check the Print Preview to make sure all of the required workbooks are present.</t>
  </si>
  <si>
    <r>
      <t xml:space="preserve">The following Excel Worksheets </t>
    </r>
    <r>
      <rPr>
        <b/>
        <u/>
        <sz val="11"/>
        <color rgb="FFFF0000"/>
        <rFont val="Calibri"/>
        <family val="2"/>
        <scheme val="minor"/>
      </rPr>
      <t>DO NOT</t>
    </r>
    <r>
      <rPr>
        <b/>
        <sz val="11"/>
        <color theme="1"/>
        <rFont val="Calibri"/>
        <family val="2"/>
        <scheme val="minor"/>
      </rPr>
      <t xml:space="preserve"> need to be submitted for Concrete Mixture Design Submittal:</t>
    </r>
  </si>
  <si>
    <t>PEM TESTS</t>
  </si>
  <si>
    <t>CEMENTITIOUS MATERIALS INFORMATION</t>
  </si>
  <si>
    <t>WATER SOURCE INFORMATION</t>
  </si>
  <si>
    <t>Printing Instructions: How to Print to PDF - OPTION 1</t>
  </si>
  <si>
    <t>Printing Instructions: How to Print to PDF - OPTION 2</t>
  </si>
  <si>
    <t>6 Agg Analysis</t>
  </si>
  <si>
    <t>7 Calculation Check</t>
  </si>
  <si>
    <t>Grade E</t>
  </si>
  <si>
    <t>Grade B</t>
  </si>
  <si>
    <t>Min. Cement</t>
  </si>
  <si>
    <t>To the mix designer: Provide brief description for SCM exemption (325 character limit)</t>
  </si>
  <si>
    <t>5: Go to 'File' in the upper left corner of the Excel window and select 'Save As'</t>
  </si>
  <si>
    <t>6: Select the appropriate PDF option in the Printer select drop down menu.</t>
  </si>
  <si>
    <t>5: Go to 'File' in the upper left corner of the Excel window and select 'Print'</t>
  </si>
  <si>
    <t>6: Press the drop down menu where it says '.xlsx'. Search the menu and select '*.pdf'</t>
  </si>
  <si>
    <t>7: Press 'Save' and save it in a folder on your computer.</t>
  </si>
  <si>
    <r>
      <t xml:space="preserve">The following Excel Worksheets are </t>
    </r>
    <r>
      <rPr>
        <b/>
        <u/>
        <sz val="11"/>
        <color rgb="FFFF0000"/>
        <rFont val="Calibri"/>
        <family val="2"/>
        <scheme val="minor"/>
      </rPr>
      <t>REQUIRED</t>
    </r>
    <r>
      <rPr>
        <b/>
        <sz val="11"/>
        <rFont val="Calibri"/>
        <family val="2"/>
        <scheme val="minor"/>
      </rPr>
      <t xml:space="preserve"> for Concrete Mixture Design Submittal:</t>
    </r>
  </si>
  <si>
    <t>If one workbook is missing, back out of the Print Preview screen and hold the Control (CTRL) key down and select the missing workbook.</t>
  </si>
  <si>
    <t>1: Check all required sheets for errors. Any error discovered on the form will result in a need for correction and resubmittal.</t>
  </si>
  <si>
    <t>HES Contractor Mix ID</t>
  </si>
  <si>
    <t>HES MRS Mix # (132 Prefix)</t>
  </si>
  <si>
    <t>HES MRS Mix #</t>
  </si>
  <si>
    <t>Contact BTS - Concrete Unit prior to using if the project must follow the High Performance Concrete (HPC) specifications.</t>
  </si>
  <si>
    <t xml:space="preserve">5 Unit Wt_Voids in Agg </t>
  </si>
  <si>
    <t>1. This form can be filled out and submitted to WisDOT for your project</t>
  </si>
  <si>
    <t>2. This certification sheet is required to be submitted for all WisDOT Mixture Designs</t>
  </si>
  <si>
    <t>3. Ensure Worksheets 2-4 are complete and are error free</t>
  </si>
  <si>
    <t>1. Enter the desired aggregate information listed: Source Name, Source ID, Test #, SG, Absorption, etc.</t>
  </si>
  <si>
    <t>6. Enter the percentages of Supplementary Cementitious Materials (SCMs): Fly-ash, Slag, Silica Fume, etc.</t>
  </si>
  <si>
    <r>
      <t xml:space="preserve">This form is meant for </t>
    </r>
    <r>
      <rPr>
        <b/>
        <u/>
        <sz val="11"/>
        <color rgb="FFFF0000"/>
        <rFont val="Calibri"/>
        <family val="2"/>
        <scheme val="minor"/>
      </rPr>
      <t>NORMAL WEIGHT CONCRETE</t>
    </r>
    <r>
      <rPr>
        <b/>
        <sz val="11"/>
        <color rgb="FFFF0000"/>
        <rFont val="Calibri"/>
        <family val="2"/>
        <scheme val="minor"/>
      </rPr>
      <t>. Contact BTS - Concrete Unit before using if using lightweight</t>
    </r>
  </si>
  <si>
    <t>aggregates.</t>
  </si>
  <si>
    <t>Set Objective to the TOTAL ABS. VOLUME cell: G26</t>
  </si>
  <si>
    <t>Coarse A (CA-A)</t>
  </si>
  <si>
    <t>Coarse B (CA-B)</t>
  </si>
  <si>
    <t>Coarse C (CA-C)</t>
  </si>
  <si>
    <t>Fine A (FA-A)</t>
  </si>
  <si>
    <t>Fine B (FA-B)</t>
  </si>
  <si>
    <t>1. Perform the AASHTO T19 before entering any data into this sheet.</t>
  </si>
  <si>
    <t>ALL WEIGHTS MUST BE ENTERED IN POUNDS (lbs.)</t>
  </si>
  <si>
    <t>2. Enter the weights recorded for the Sample and Container fields.</t>
  </si>
  <si>
    <t>3. Enter the weight of the unit weight container.</t>
  </si>
  <si>
    <t>4. Enter the calibrated volume of the unit weight container.</t>
  </si>
  <si>
    <t>5. Use the calculated Void Content in the field found in 3 Paste Quality</t>
  </si>
  <si>
    <t>1. Check 2 Aggregate System and 3 Paste Quality for any errors.</t>
  </si>
  <si>
    <t>Correct data entry: 15.2</t>
  </si>
  <si>
    <t>Incorrect data entry: .152 OR 15.2%</t>
  </si>
  <si>
    <t>2. Input the desired percentage for each aggregate being used.</t>
  </si>
  <si>
    <t>Click on 'Solver' which is located in the 'Analyze' section of the 'Data' ribbon.</t>
  </si>
  <si>
    <t>5. Check the ‘By Changing Variable Cells’ field in Solver to ensure the proper aggregate percentages are selected and the ‘Total Aggregate Weight’ cell is selected.</t>
  </si>
  <si>
    <t xml:space="preserve">and ‘Total Aggregate Weight’ (Cell D12). </t>
  </si>
  <si>
    <t>8. Input the individual aggregate weights into the proper fields found on '4 Mixture Design' worksheet.</t>
  </si>
  <si>
    <t>The charts, other than the Tarantula Curve, serve no contractual purpose and will not be used for any form of acceptance.</t>
  </si>
  <si>
    <r>
      <rPr>
        <b/>
        <sz val="11"/>
        <color theme="1"/>
        <rFont val="Calibri"/>
        <family val="2"/>
        <scheme val="minor"/>
      </rPr>
      <t xml:space="preserve">MIXTURE DESIGNERS/CONTRACTORS: </t>
    </r>
    <r>
      <rPr>
        <sz val="11"/>
        <color theme="1"/>
        <rFont val="Calibri"/>
        <family val="2"/>
        <scheme val="minor"/>
      </rPr>
      <t xml:space="preserve">Only checkmark the SCM Exemption Request Checkbox if there are </t>
    </r>
    <r>
      <rPr>
        <b/>
        <sz val="11"/>
        <color theme="1"/>
        <rFont val="Calibri"/>
        <family val="2"/>
        <scheme val="minor"/>
      </rPr>
      <t>KNOWN</t>
    </r>
    <r>
      <rPr>
        <sz val="11"/>
        <color theme="1"/>
        <rFont val="Calibri"/>
        <family val="2"/>
        <scheme val="minor"/>
      </rPr>
      <t xml:space="preserve"> logistical issues of supplying a SCM(s).</t>
    </r>
  </si>
  <si>
    <t>Write a brief description for the SCM exemption in the field on 1 Certification. Work with WisDOT staff if SCM supplies for the project are a foreseeable issue.</t>
  </si>
  <si>
    <t>HES Concrete Modifications</t>
  </si>
  <si>
    <t>SCM Exemption Field</t>
  </si>
  <si>
    <t>Ensure you provide the Contractor Mix ID number and a new MRS Mix ID (132 prefix).</t>
  </si>
  <si>
    <t>3. Enter the desired TOTAL cementitious content as lbs./cy.</t>
  </si>
  <si>
    <t>6. Press the 'Solve' button at the bottom of the Solver window and wait for a result.</t>
  </si>
  <si>
    <t>7. Check the Tarantula Curve chart below the 'Mixture Proportions' table to see if the Solver result is acceptable. Iteration or manual entry may be necessary.</t>
  </si>
  <si>
    <t>This is not the only way to print to PDF. Third party programs have features where the proper sheets can be selected and printed. Features like this may require</t>
  </si>
  <si>
    <t>a license to use and is beyond WisDOT to provide.</t>
  </si>
  <si>
    <t>9. Enter Water Source information and testing.</t>
  </si>
  <si>
    <t>10. Enter Admixture information.</t>
  </si>
  <si>
    <t>Look up the ASTM C494 Type on the admixture product sheet.</t>
  </si>
  <si>
    <t>For air entrainers, type in AE.</t>
  </si>
  <si>
    <t>5. Enter the target air content of the mixture (Air %) and SAM Number.</t>
  </si>
  <si>
    <t>2. Select from the drop-down menu the Concrete Classification for the maximum w/cm ratio allowed per 715.2.2.</t>
  </si>
  <si>
    <t>If the 'Other' cells are filled out in the 'Cementitious Materials Information' table, fill out the 'Other Information' Table.</t>
  </si>
  <si>
    <t>2. Enter the desired individual aggregate gradations in terms of % Passing.</t>
  </si>
  <si>
    <t>3. Enter the nominal maximum sizes.</t>
  </si>
  <si>
    <t>8. Enter the measured aggregate void results using ASTM C 29.</t>
  </si>
  <si>
    <t>Click 'Data' ribbon at the top of Excel.</t>
  </si>
  <si>
    <t>4. Open Solver in this workbook following these directions:</t>
  </si>
  <si>
    <t>Contains helpful notes</t>
  </si>
  <si>
    <t>NOTE: CAN BE FOUND ON OPTIMIZE TOOL: CELL Q8 (HIDDEN)</t>
  </si>
  <si>
    <t>SINCE CHECK BOX USED, MUST BE ON UNLOCKED WORKBOOK TO WORK</t>
  </si>
  <si>
    <t>Design Date (mm/dd/yyyy)</t>
  </si>
  <si>
    <t>Date (mm/dd/yyyy)</t>
  </si>
  <si>
    <t>SECTION F - Mix Design Certification</t>
  </si>
  <si>
    <t>SECTION G - Project Staff Review</t>
  </si>
  <si>
    <t>WisDOT Regional Materials Engineer Signature for SCM Exemption (Wet or Digital)</t>
  </si>
  <si>
    <t>CONCRETE CLASS</t>
  </si>
  <si>
    <t>TIP: If you have a data entry that is not in the default set up for Solver or need to add an aggregate percentage, clear all</t>
  </si>
  <si>
    <t>of the cell entries and select proper aggregate percentages and the ‘Total Aggregate Weight’ cell.</t>
  </si>
  <si>
    <t>Do this by holding the ‘Control’ (Ctrl) key down and selecting the desired cells.</t>
  </si>
  <si>
    <t>This also can be achieved by placing commas (,) in-between the cells like the following: $D$7, $D$8, $D$10, $D12</t>
  </si>
  <si>
    <t>3. Input a 'guess' Total Aggregate Weight in cell D12. This make Solver come to a solution faster.</t>
  </si>
  <si>
    <t>2. Input the desired SSD aggregate weights for the mixture. Values from the Optimize Tool are displayed if it was used to proportion mixture.</t>
  </si>
  <si>
    <t>To modify the default cells, clear the 'By Changing Variable Cells' field. Hold the control (CTRL) key down and click the desired cells.</t>
  </si>
  <si>
    <t>The proportion input cells are D14 - D18. The default cells are D14 (Coarse A), D15 (Coarse B) and D17 (Fine A).</t>
  </si>
  <si>
    <t>The same can be achieved using commas separating the cells. Example: $D$14, $D$15, $D$17</t>
  </si>
  <si>
    <t>Press solve to get a result.</t>
  </si>
  <si>
    <t>Analyze</t>
  </si>
  <si>
    <t>4. Input the desired SSD aggregate weights for the mixture. Values from the Optimize Tool are displayed if it was used to proportion mixture.</t>
  </si>
  <si>
    <r>
      <t xml:space="preserve">5. </t>
    </r>
    <r>
      <rPr>
        <b/>
        <sz val="11"/>
        <rFont val="Calibri"/>
        <family val="2"/>
        <scheme val="minor"/>
      </rPr>
      <t>If not using the Optimize Tool:</t>
    </r>
    <r>
      <rPr>
        <sz val="11"/>
        <rFont val="Calibri"/>
        <family val="2"/>
        <scheme val="minor"/>
      </rPr>
      <t xml:space="preserve"> Multiply the total aggregate weight (2700 - 4000 lbs./cy) by the desired percentage to get the weight for each aggregate. </t>
    </r>
  </si>
  <si>
    <t>6. Open Solver via the following path:</t>
  </si>
  <si>
    <t xml:space="preserve">7. Solve for your mix.  </t>
  </si>
  <si>
    <t>8. Check to ensure the mixture design is within the Tarantula Curve Limits</t>
  </si>
  <si>
    <r>
      <t>9. Check to ensure the TOTAL ABS. VOLUME equals 27.20 ft.</t>
    </r>
    <r>
      <rPr>
        <vertAlign val="superscript"/>
        <sz val="11"/>
        <rFont val="Calibri"/>
        <family val="2"/>
        <scheme val="minor"/>
      </rPr>
      <t>3</t>
    </r>
    <r>
      <rPr>
        <sz val="11"/>
        <rFont val="Calibri"/>
        <family val="2"/>
        <scheme val="minor"/>
      </rPr>
      <t xml:space="preserve"> using standard rounding rules (Cell G26)</t>
    </r>
  </si>
  <si>
    <t>10. Check the volume of paste/volume of voids (vp/vv) ratio so it is above 1.25.</t>
  </si>
  <si>
    <t xml:space="preserve">11. Check the fine aggregate limits and make sure the desired placement method is selected. </t>
  </si>
  <si>
    <t>1. Ensure 3 Paste Quality Sheet is completely filled and error free. An error message will be displayed in key cells if there are errors present.</t>
  </si>
  <si>
    <t>It is recommended to print this 'Directions' sheet out when using this form for the first time.</t>
  </si>
  <si>
    <t>Leave this checkbox unmarked if the project will have a steady and reliable source of SCM(s).</t>
  </si>
  <si>
    <t>The 'Solver' function must be open on the '4 Mix Design' sheet in order for it to work on that sheet.</t>
  </si>
  <si>
    <r>
      <t xml:space="preserve">SECTION E - High Early Strength (HES) Mix Modification </t>
    </r>
    <r>
      <rPr>
        <b/>
        <i/>
        <sz val="10"/>
        <rFont val="Calibri"/>
        <family val="2"/>
        <scheme val="minor"/>
      </rPr>
      <t>(Fill Out As Needed)</t>
    </r>
  </si>
  <si>
    <t>There is an optional field in Section E - High Early Strength (HES) Mix Modification to modify the mixture into a High Early Strength (HES) mixture.</t>
  </si>
  <si>
    <t>Check the most relevant option per 710.4 (5) if you wish to make this mixture HES.</t>
  </si>
  <si>
    <t>3. Select the concrete placement method from the drop down menu in the 'TARANTULA RESULTS: FINE AGGREGATE LIMITS' at the bottom of the worksheet.</t>
  </si>
  <si>
    <t>Input those weights into the proper cells.</t>
  </si>
  <si>
    <r>
      <t xml:space="preserve">Optimize Tool </t>
    </r>
    <r>
      <rPr>
        <b/>
        <sz val="11"/>
        <color rgb="FFFF0000"/>
        <rFont val="Calibri"/>
        <family val="2"/>
        <scheme val="minor"/>
      </rPr>
      <t>***WARNING***</t>
    </r>
    <r>
      <rPr>
        <b/>
        <sz val="11"/>
        <rFont val="Calibri"/>
        <family val="2"/>
        <scheme val="minor"/>
      </rPr>
      <t xml:space="preserve">  THIS WORKSHEET IS UNLOCKED AND CONTAINS SENSITIVE CALCULATIONS.</t>
    </r>
  </si>
  <si>
    <r>
      <t xml:space="preserve">4 Mix Design </t>
    </r>
    <r>
      <rPr>
        <b/>
        <sz val="11"/>
        <color rgb="FFFF0000"/>
        <rFont val="Calibri"/>
        <family val="2"/>
        <scheme val="minor"/>
      </rPr>
      <t>***WARNING***</t>
    </r>
    <r>
      <rPr>
        <b/>
        <sz val="11"/>
        <rFont val="Calibri"/>
        <family val="2"/>
        <scheme val="minor"/>
      </rPr>
      <t xml:space="preserve">  THIS WORKSHEET IS UNLOCKED AND CONTAINS SENSITIVE CALCULATIONS. ONLY MODIFY CANARY YELLOW CELLS</t>
    </r>
  </si>
  <si>
    <t>***CELL D12 MUST BE SELECTED FOR THE OPTIMIZE TOOL TO WORK!!!***</t>
  </si>
  <si>
    <t>SHEET INSTRUCTIONS</t>
  </si>
  <si>
    <t>If you do not have the Excel Solver Add-in active on your machine you will need to enable it by selecting: file, options, Add-ins and enable the Solver Add-in.</t>
  </si>
  <si>
    <t>Total Cement Content (lbs./cy)</t>
  </si>
  <si>
    <t>1. Enter info listed in Cementitious material: Manufacturer, Source, Type/Class/Grade, and Specific Gravity (S.G.).</t>
  </si>
  <si>
    <t>S.G. can be found on the Mill Certification from the manufacturer.</t>
  </si>
  <si>
    <t>4. Enter a water-to-cementitious ratio (w/cm) less than or equal to the max w/cm ratio allowed.</t>
  </si>
  <si>
    <t>If the mixture is for Class I concrete and being slip-formed: Enter the Box Test Results.</t>
  </si>
  <si>
    <t>The maximum total SCM replacement amount is 30%. If the input is greater than 30%, then an error message will be present.</t>
  </si>
  <si>
    <t xml:space="preserve">The default data entries in the ‘By Changing Variable Cells’ are the following cells: Coarse A (Cell D7), Coarse B (Cell D8), Fine A (Cell D10) </t>
  </si>
  <si>
    <t>Read Optimize Tool instructions if you want to use it to proportion your mixture.</t>
  </si>
  <si>
    <t>The 'Solver' function must be opened on the 'Optimize Tool' sheet in order for the tool to work.</t>
  </si>
  <si>
    <t>4 Mix Design Combined Grad.</t>
  </si>
  <si>
    <t>Additional Cement (lbs./cy)</t>
  </si>
  <si>
    <t>Sum of Fines</t>
  </si>
  <si>
    <t>%Ret.</t>
  </si>
  <si>
    <t>Optimize Tool Comp. FM</t>
  </si>
  <si>
    <t>Version 2.1</t>
  </si>
  <si>
    <t>DT2221     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</si>
</sst>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numFmt numFmtId="165" formatCode="0.00;[Red]0.00"/>
    <numFmt numFmtId="166" formatCode="0;[Red]0"/>
    <numFmt numFmtId="167" formatCode="0.0;[Red]0.0"/>
    <numFmt numFmtId="168" formatCode="0.000"/>
    <numFmt numFmtId="169" formatCode="[$-409]d\-mmm\-yy;@"/>
    <numFmt numFmtId="170" formatCode="0.00000"/>
    <numFmt numFmtId="171" formatCode="0.0000"/>
    <numFmt numFmtId="172" formatCode="mm/dd/yy;@"/>
    <numFmt numFmtId="173" formatCode="0.0%"/>
    <numFmt numFmtId="174" formatCode="0.000000"/>
    <numFmt numFmtId="175" formatCode="[&lt;=9999999]###\-####;\(###\)\ ###\-####"/>
  </numFmts>
  <fonts count="84" x14ac:knownFonts="1">
    <font>
      <sz val="11"/>
      <color theme="1"/>
      <name val="Calibri"/>
      <family val="2"/>
      <scheme val="minor"/>
    </font>
    <font>
      <sz val="10"/>
      <name val="Arial"/>
      <family val="2"/>
    </font>
    <font>
      <sz val="12"/>
      <name val="Times New Roman"/>
      <family val="1"/>
    </font>
    <font>
      <b/>
      <sz val="12"/>
      <name val="Times New Roman"/>
      <family val="1"/>
    </font>
    <font>
      <sz val="9"/>
      <name val="Times New Roman"/>
      <family val="1"/>
    </font>
    <font>
      <sz val="8"/>
      <color rgb="FF000000"/>
      <name val="Segoe UI"/>
      <family val="2"/>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i/>
      <sz val="11"/>
      <color theme="1"/>
      <name val="Calibri"/>
      <family val="2"/>
      <scheme val="minor"/>
    </font>
    <font>
      <b/>
      <i/>
      <sz val="11"/>
      <name val="Calibri"/>
      <family val="2"/>
      <scheme val="minor"/>
    </font>
    <font>
      <i/>
      <sz val="11"/>
      <name val="Calibri"/>
      <family val="2"/>
      <scheme val="minor"/>
    </font>
    <font>
      <sz val="11"/>
      <color theme="1"/>
      <name val="Calibri"/>
      <family val="2"/>
      <scheme val="minor"/>
    </font>
    <font>
      <sz val="26"/>
      <name val="Times New Roman"/>
      <family val="1"/>
    </font>
    <font>
      <vertAlign val="superscript"/>
      <sz val="11"/>
      <name val="Calibri"/>
      <family val="2"/>
      <scheme val="minor"/>
    </font>
    <font>
      <sz val="8"/>
      <name val="Calibri"/>
      <family val="2"/>
      <scheme val="minor"/>
    </font>
    <font>
      <sz val="12"/>
      <name val="Calibri"/>
      <family val="2"/>
      <scheme val="minor"/>
    </font>
    <font>
      <u/>
      <sz val="11"/>
      <color theme="10"/>
      <name val="Calibri"/>
      <family val="2"/>
      <scheme val="minor"/>
    </font>
    <font>
      <b/>
      <sz val="10"/>
      <name val="Calibri"/>
      <family val="2"/>
      <scheme val="minor"/>
    </font>
    <font>
      <b/>
      <sz val="12"/>
      <name val="Calibri"/>
      <family val="2"/>
      <scheme val="minor"/>
    </font>
    <font>
      <sz val="10"/>
      <name val="Calibri"/>
      <family val="2"/>
      <scheme val="minor"/>
    </font>
    <font>
      <sz val="7"/>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vertAlign val="superscript"/>
      <sz val="10"/>
      <name val="Calibri"/>
      <family val="2"/>
      <scheme val="minor"/>
    </font>
    <font>
      <b/>
      <vertAlign val="superscript"/>
      <sz val="10"/>
      <color theme="1"/>
      <name val="Calibri"/>
      <family val="2"/>
      <scheme val="minor"/>
    </font>
    <font>
      <b/>
      <sz val="12"/>
      <name val="Calibri"/>
      <family val="2"/>
    </font>
    <font>
      <b/>
      <sz val="11"/>
      <name val="Calibri"/>
      <family val="2"/>
    </font>
    <font>
      <sz val="12"/>
      <name val="Calibri"/>
      <family val="2"/>
    </font>
    <font>
      <b/>
      <sz val="10"/>
      <name val="Calibri"/>
      <family val="2"/>
    </font>
    <font>
      <sz val="10"/>
      <name val="Calibri"/>
      <family val="2"/>
    </font>
    <font>
      <b/>
      <sz val="12"/>
      <color rgb="FFFF0000"/>
      <name val="Calibri"/>
      <family val="2"/>
    </font>
    <font>
      <sz val="12"/>
      <color indexed="10"/>
      <name val="Calibri"/>
      <family val="2"/>
    </font>
    <font>
      <b/>
      <sz val="12"/>
      <color indexed="48"/>
      <name val="Calibri"/>
      <family val="2"/>
    </font>
    <font>
      <sz val="12"/>
      <color rgb="FF0070C0"/>
      <name val="Calibri"/>
      <family val="2"/>
    </font>
    <font>
      <sz val="12"/>
      <color theme="0"/>
      <name val="Calibri"/>
      <family val="2"/>
    </font>
    <font>
      <sz val="12"/>
      <color theme="1"/>
      <name val="Calibri"/>
      <family val="2"/>
    </font>
    <font>
      <sz val="12"/>
      <color rgb="FFFF0000"/>
      <name val="Calibri"/>
      <family val="2"/>
    </font>
    <font>
      <sz val="11"/>
      <color theme="1"/>
      <name val="Calibri"/>
      <family val="2"/>
    </font>
    <font>
      <b/>
      <u/>
      <sz val="12"/>
      <name val="Calibri"/>
      <family val="2"/>
    </font>
    <font>
      <b/>
      <sz val="14"/>
      <name val="Calibri"/>
      <family val="2"/>
    </font>
    <font>
      <b/>
      <u/>
      <sz val="14"/>
      <name val="Calibri"/>
      <family val="2"/>
    </font>
    <font>
      <b/>
      <sz val="10"/>
      <color rgb="FFFF0000"/>
      <name val="Calibri"/>
      <family val="2"/>
    </font>
    <font>
      <sz val="11"/>
      <name val="Calibri"/>
      <family val="2"/>
    </font>
    <font>
      <b/>
      <sz val="12"/>
      <color theme="1"/>
      <name val="Calibri"/>
      <family val="2"/>
    </font>
    <font>
      <sz val="10"/>
      <color theme="1"/>
      <name val="Calibri"/>
      <family val="2"/>
    </font>
    <font>
      <vertAlign val="superscript"/>
      <sz val="12"/>
      <name val="Calibri"/>
      <family val="2"/>
    </font>
    <font>
      <b/>
      <sz val="12"/>
      <color indexed="12"/>
      <name val="Calibri"/>
      <family val="2"/>
    </font>
    <font>
      <sz val="16"/>
      <color theme="1"/>
      <name val="Calibri"/>
      <family val="2"/>
    </font>
    <font>
      <u/>
      <sz val="12"/>
      <name val="Calibri"/>
      <family val="2"/>
      <scheme val="minor"/>
    </font>
    <font>
      <b/>
      <sz val="10"/>
      <color rgb="FFFF0000"/>
      <name val="Calibri"/>
      <family val="2"/>
      <scheme val="minor"/>
    </font>
    <font>
      <b/>
      <sz val="12"/>
      <color rgb="FFFF0000"/>
      <name val="Calibri"/>
      <family val="2"/>
      <scheme val="minor"/>
    </font>
    <font>
      <sz val="12"/>
      <color theme="1"/>
      <name val="Calibri"/>
      <family val="2"/>
      <scheme val="minor"/>
    </font>
    <font>
      <b/>
      <sz val="14"/>
      <color rgb="FFFF0000"/>
      <name val="Calibri"/>
      <family val="2"/>
      <scheme val="minor"/>
    </font>
    <font>
      <b/>
      <sz val="12"/>
      <color indexed="12"/>
      <name val="Calibri"/>
      <family val="2"/>
      <scheme val="minor"/>
    </font>
    <font>
      <b/>
      <sz val="12"/>
      <color indexed="48"/>
      <name val="Calibri"/>
      <family val="2"/>
      <scheme val="minor"/>
    </font>
    <font>
      <b/>
      <u/>
      <sz val="12"/>
      <name val="Calibri"/>
      <family val="2"/>
      <scheme val="minor"/>
    </font>
    <font>
      <vertAlign val="subscript"/>
      <sz val="12"/>
      <name val="Calibri"/>
      <family val="2"/>
      <scheme val="minor"/>
    </font>
    <font>
      <i/>
      <sz val="12"/>
      <name val="Calibri"/>
      <family val="2"/>
      <scheme val="minor"/>
    </font>
    <font>
      <i/>
      <vertAlign val="subscript"/>
      <sz val="12"/>
      <name val="Calibri"/>
      <family val="2"/>
      <scheme val="minor"/>
    </font>
    <font>
      <sz val="9"/>
      <name val="Calibri"/>
      <family val="2"/>
      <scheme val="minor"/>
    </font>
    <font>
      <vertAlign val="superscript"/>
      <sz val="12"/>
      <color theme="1"/>
      <name val="Calibri"/>
      <family val="2"/>
    </font>
    <font>
      <sz val="12"/>
      <color indexed="81"/>
      <name val="Tahoma"/>
      <family val="2"/>
    </font>
    <font>
      <b/>
      <sz val="22"/>
      <color rgb="FFFF0000"/>
      <name val="Calibri"/>
      <family val="2"/>
    </font>
    <font>
      <sz val="22"/>
      <color rgb="FFFF0000"/>
      <name val="Calibri"/>
      <family val="2"/>
    </font>
    <font>
      <b/>
      <sz val="24"/>
      <color rgb="FFFF0000"/>
      <name val="Calibri"/>
      <family val="2"/>
    </font>
    <font>
      <sz val="24"/>
      <color rgb="FFFF0000"/>
      <name val="Calibri"/>
      <family val="2"/>
    </font>
    <font>
      <b/>
      <u/>
      <sz val="11"/>
      <color rgb="FFFF0000"/>
      <name val="Calibri"/>
      <family val="2"/>
      <scheme val="minor"/>
    </font>
    <font>
      <b/>
      <sz val="12"/>
      <color indexed="81"/>
      <name val="Tahoma"/>
      <family val="2"/>
    </font>
    <font>
      <b/>
      <sz val="9"/>
      <color indexed="81"/>
      <name val="Tahoma"/>
      <family val="2"/>
    </font>
    <font>
      <b/>
      <sz val="10"/>
      <color indexed="81"/>
      <name val="Tahoma"/>
      <family val="2"/>
    </font>
    <font>
      <sz val="9"/>
      <color indexed="81"/>
      <name val="Tahoma"/>
      <family val="2"/>
    </font>
    <font>
      <sz val="18"/>
      <color theme="1"/>
      <name val="Calibri"/>
      <family val="2"/>
      <scheme val="minor"/>
    </font>
    <font>
      <i/>
      <sz val="10"/>
      <color rgb="FFFF0000"/>
      <name val="Calibri"/>
      <family val="2"/>
      <scheme val="minor"/>
    </font>
    <font>
      <b/>
      <sz val="11"/>
      <color indexed="81"/>
      <name val="Tahoma"/>
      <family val="2"/>
    </font>
    <font>
      <sz val="11"/>
      <color indexed="81"/>
      <name val="Tahoma"/>
      <family val="2"/>
    </font>
    <font>
      <u/>
      <sz val="12"/>
      <color theme="10"/>
      <name val="Calibri"/>
      <family val="2"/>
      <scheme val="minor"/>
    </font>
    <font>
      <b/>
      <sz val="9"/>
      <color rgb="FFFF0000"/>
      <name val="Calibri"/>
      <family val="2"/>
      <scheme val="minor"/>
    </font>
    <font>
      <b/>
      <u/>
      <sz val="12"/>
      <color indexed="81"/>
      <name val="Tahoma"/>
      <family val="2"/>
    </font>
    <font>
      <b/>
      <i/>
      <sz val="10"/>
      <name val="Calibri"/>
      <family val="2"/>
      <scheme val="minor"/>
    </font>
    <font>
      <b/>
      <sz val="14"/>
      <color rgb="FFFF0000"/>
      <name val="Calibri"/>
      <family val="2"/>
    </font>
  </fonts>
  <fills count="9">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249977111117893"/>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5">
    <xf numFmtId="0" fontId="0" fillId="0" borderId="0"/>
    <xf numFmtId="0" fontId="1" fillId="0" borderId="0"/>
    <xf numFmtId="0" fontId="4" fillId="0" borderId="0"/>
    <xf numFmtId="9" fontId="14" fillId="0" borderId="0" applyFont="0" applyFill="0" applyBorder="0" applyAlignment="0" applyProtection="0"/>
    <xf numFmtId="0" fontId="19" fillId="0" borderId="0" applyNumberFormat="0" applyFill="0" applyBorder="0" applyAlignment="0" applyProtection="0"/>
  </cellStyleXfs>
  <cellXfs count="1404">
    <xf numFmtId="0" fontId="0" fillId="0" borderId="0" xfId="0"/>
    <xf numFmtId="0" fontId="2" fillId="0" borderId="0" xfId="0" applyFont="1"/>
    <xf numFmtId="0" fontId="2" fillId="0" borderId="24" xfId="0" applyFont="1" applyBorder="1"/>
    <xf numFmtId="1" fontId="2" fillId="0" borderId="0" xfId="0" applyNumberFormat="1" applyFont="1"/>
    <xf numFmtId="0" fontId="3" fillId="0" borderId="0" xfId="0" applyFont="1"/>
    <xf numFmtId="2" fontId="2" fillId="0" borderId="0" xfId="0" applyNumberFormat="1" applyFont="1"/>
    <xf numFmtId="168" fontId="2" fillId="0" borderId="0" xfId="0" applyNumberFormat="1" applyFont="1"/>
    <xf numFmtId="0" fontId="2" fillId="0" borderId="42" xfId="0" applyFont="1" applyBorder="1"/>
    <xf numFmtId="0" fontId="2" fillId="0" borderId="28" xfId="0" applyFont="1" applyBorder="1"/>
    <xf numFmtId="0" fontId="2" fillId="0" borderId="38" xfId="0" applyFont="1" applyBorder="1"/>
    <xf numFmtId="164" fontId="2" fillId="0" borderId="0" xfId="0" applyNumberFormat="1" applyFont="1"/>
    <xf numFmtId="0" fontId="2" fillId="0" borderId="51" xfId="0" applyFont="1" applyBorder="1"/>
    <xf numFmtId="0" fontId="2" fillId="0" borderId="52" xfId="0" applyFont="1" applyBorder="1"/>
    <xf numFmtId="0" fontId="3" fillId="0" borderId="9" xfId="0" applyFont="1" applyBorder="1" applyAlignment="1">
      <alignment horizontal="left"/>
    </xf>
    <xf numFmtId="0" fontId="3" fillId="0" borderId="50" xfId="0" applyFont="1" applyBorder="1" applyAlignment="1">
      <alignment horizontal="left"/>
    </xf>
    <xf numFmtId="0" fontId="3" fillId="0" borderId="52" xfId="0" applyFont="1" applyBorder="1"/>
    <xf numFmtId="164" fontId="2" fillId="0" borderId="9" xfId="0" applyNumberFormat="1" applyFont="1" applyBorder="1" applyAlignment="1">
      <alignment horizontal="left"/>
    </xf>
    <xf numFmtId="0" fontId="2" fillId="0" borderId="9" xfId="0" applyFont="1" applyBorder="1" applyAlignment="1">
      <alignment horizontal="left"/>
    </xf>
    <xf numFmtId="164" fontId="2" fillId="0" borderId="50" xfId="0" applyNumberFormat="1" applyFont="1" applyBorder="1" applyAlignment="1">
      <alignment horizontal="left"/>
    </xf>
    <xf numFmtId="0" fontId="2" fillId="0" borderId="0" xfId="0" applyFont="1" applyAlignment="1">
      <alignment vertical="top"/>
    </xf>
    <xf numFmtId="0" fontId="2" fillId="0" borderId="51" xfId="0" applyFont="1" applyBorder="1" applyAlignment="1">
      <alignment vertical="top"/>
    </xf>
    <xf numFmtId="0" fontId="2" fillId="0" borderId="51" xfId="0" applyFont="1" applyBorder="1" applyAlignment="1">
      <alignment vertical="top" wrapText="1"/>
    </xf>
    <xf numFmtId="0" fontId="2" fillId="0" borderId="22" xfId="0" applyFont="1" applyBorder="1"/>
    <xf numFmtId="0" fontId="2" fillId="0" borderId="37" xfId="0" applyFont="1" applyBorder="1"/>
    <xf numFmtId="0" fontId="2" fillId="0" borderId="17" xfId="0" applyFont="1" applyBorder="1"/>
    <xf numFmtId="168" fontId="2" fillId="0" borderId="17" xfId="0" applyNumberFormat="1" applyFont="1" applyBorder="1"/>
    <xf numFmtId="164" fontId="2" fillId="0" borderId="17" xfId="0" applyNumberFormat="1" applyFont="1" applyBorder="1"/>
    <xf numFmtId="168" fontId="2" fillId="0" borderId="36" xfId="0" applyNumberFormat="1" applyFont="1" applyBorder="1"/>
    <xf numFmtId="49" fontId="2" fillId="0" borderId="24" xfId="0" applyNumberFormat="1" applyFont="1" applyBorder="1" applyAlignment="1">
      <alignment horizontal="center"/>
    </xf>
    <xf numFmtId="164" fontId="2" fillId="0" borderId="51" xfId="0" applyNumberFormat="1" applyFont="1" applyBorder="1"/>
    <xf numFmtId="0" fontId="2" fillId="0" borderId="63" xfId="0" applyFont="1" applyBorder="1"/>
    <xf numFmtId="168" fontId="2" fillId="0" borderId="63" xfId="0" applyNumberFormat="1" applyFont="1" applyBorder="1"/>
    <xf numFmtId="164" fontId="2" fillId="0" borderId="63" xfId="0" applyNumberFormat="1" applyFont="1" applyBorder="1"/>
    <xf numFmtId="49" fontId="2" fillId="0" borderId="38" xfId="0" applyNumberFormat="1" applyFont="1" applyBorder="1" applyAlignment="1">
      <alignment horizontal="center"/>
    </xf>
    <xf numFmtId="168" fontId="2" fillId="0" borderId="39" xfId="0" applyNumberFormat="1" applyFont="1" applyBorder="1"/>
    <xf numFmtId="0" fontId="2" fillId="0" borderId="1" xfId="0" applyFont="1" applyBorder="1"/>
    <xf numFmtId="0" fontId="2" fillId="0" borderId="3" xfId="0" applyFont="1" applyBorder="1"/>
    <xf numFmtId="0" fontId="2" fillId="0" borderId="0" xfId="0" applyFont="1" applyAlignment="1">
      <alignment horizontal="centerContinuous"/>
    </xf>
    <xf numFmtId="0" fontId="2" fillId="0" borderId="4" xfId="0" applyFont="1" applyBorder="1"/>
    <xf numFmtId="0" fontId="2" fillId="0" borderId="5" xfId="0" applyFont="1" applyBorder="1"/>
    <xf numFmtId="167" fontId="2" fillId="0" borderId="17" xfId="0" applyNumberFormat="1" applyFont="1" applyBorder="1"/>
    <xf numFmtId="1" fontId="2" fillId="0" borderId="4" xfId="0" applyNumberFormat="1" applyFont="1" applyBorder="1" applyAlignment="1">
      <alignment horizontal="right"/>
    </xf>
    <xf numFmtId="1" fontId="2" fillId="0" borderId="5" xfId="0" applyNumberFormat="1" applyFont="1" applyBorder="1" applyAlignment="1">
      <alignment horizontal="right"/>
    </xf>
    <xf numFmtId="168" fontId="2" fillId="0" borderId="5" xfId="0" applyNumberFormat="1" applyFont="1" applyBorder="1"/>
    <xf numFmtId="1" fontId="2" fillId="0" borderId="4" xfId="0" applyNumberFormat="1" applyFont="1" applyBorder="1"/>
    <xf numFmtId="1" fontId="2" fillId="0" borderId="5" xfId="0" applyNumberFormat="1" applyFont="1" applyBorder="1"/>
    <xf numFmtId="0" fontId="2" fillId="0" borderId="0" xfId="0" applyFont="1" applyAlignment="1">
      <alignment horizontal="right" vertical="center"/>
    </xf>
    <xf numFmtId="0" fontId="2" fillId="0" borderId="6" xfId="0" applyFont="1" applyBorder="1"/>
    <xf numFmtId="0" fontId="2" fillId="0" borderId="8" xfId="0" applyFont="1" applyBorder="1"/>
    <xf numFmtId="167" fontId="2" fillId="0" borderId="63" xfId="0" applyNumberFormat="1" applyFont="1" applyBorder="1"/>
    <xf numFmtId="168" fontId="2" fillId="0" borderId="8" xfId="0" applyNumberFormat="1" applyFont="1" applyBorder="1"/>
    <xf numFmtId="1" fontId="2" fillId="0" borderId="6" xfId="0" applyNumberFormat="1" applyFont="1" applyBorder="1"/>
    <xf numFmtId="1" fontId="2" fillId="0" borderId="8" xfId="0" applyNumberFormat="1" applyFont="1" applyBorder="1"/>
    <xf numFmtId="0" fontId="2" fillId="0" borderId="0" xfId="0" applyFont="1" applyAlignment="1">
      <alignment horizontal="right"/>
    </xf>
    <xf numFmtId="0" fontId="2" fillId="0" borderId="2" xfId="0" applyFont="1" applyBorder="1"/>
    <xf numFmtId="2" fontId="2" fillId="0" borderId="5" xfId="0" applyNumberFormat="1" applyFont="1" applyBorder="1"/>
    <xf numFmtId="0" fontId="2" fillId="0" borderId="7" xfId="0" applyFont="1" applyBorder="1"/>
    <xf numFmtId="2" fontId="2" fillId="0" borderId="8" xfId="0" applyNumberFormat="1" applyFont="1" applyBorder="1"/>
    <xf numFmtId="0" fontId="2" fillId="0" borderId="34" xfId="0" applyFont="1" applyBorder="1"/>
    <xf numFmtId="2" fontId="2" fillId="0" borderId="42" xfId="0" applyNumberFormat="1" applyFont="1" applyBorder="1" applyAlignment="1">
      <alignment horizontal="left"/>
    </xf>
    <xf numFmtId="0" fontId="2" fillId="0" borderId="35" xfId="0" applyFont="1" applyBorder="1"/>
    <xf numFmtId="2" fontId="2" fillId="0" borderId="0" xfId="0" applyNumberFormat="1" applyFont="1" applyAlignment="1">
      <alignment horizontal="left"/>
    </xf>
    <xf numFmtId="168" fontId="2" fillId="0" borderId="24" xfId="0" applyNumberFormat="1" applyFont="1" applyBorder="1"/>
    <xf numFmtId="0" fontId="2" fillId="0" borderId="20" xfId="0" applyFont="1" applyBorder="1"/>
    <xf numFmtId="168" fontId="2" fillId="0" borderId="20" xfId="0" applyNumberFormat="1" applyFont="1" applyBorder="1"/>
    <xf numFmtId="2" fontId="2" fillId="0" borderId="20" xfId="0" applyNumberFormat="1" applyFont="1" applyBorder="1"/>
    <xf numFmtId="168" fontId="2" fillId="0" borderId="34" xfId="0" applyNumberFormat="1" applyFont="1" applyBorder="1"/>
    <xf numFmtId="0" fontId="2" fillId="0" borderId="29" xfId="0" applyFont="1" applyBorder="1"/>
    <xf numFmtId="168" fontId="2" fillId="0" borderId="42" xfId="0" applyNumberFormat="1" applyFont="1" applyBorder="1"/>
    <xf numFmtId="170" fontId="2" fillId="0" borderId="42" xfId="0" applyNumberFormat="1" applyFont="1" applyBorder="1"/>
    <xf numFmtId="170" fontId="2" fillId="0" borderId="0" xfId="0" applyNumberFormat="1" applyFont="1"/>
    <xf numFmtId="168" fontId="2" fillId="0" borderId="38" xfId="0" applyNumberFormat="1" applyFont="1" applyBorder="1"/>
    <xf numFmtId="168" fontId="2" fillId="0" borderId="28" xfId="0" applyNumberFormat="1" applyFont="1" applyBorder="1"/>
    <xf numFmtId="170" fontId="2" fillId="0" borderId="28" xfId="0" applyNumberFormat="1" applyFont="1" applyBorder="1"/>
    <xf numFmtId="9" fontId="2" fillId="0" borderId="0" xfId="3" applyFont="1" applyProtection="1"/>
    <xf numFmtId="1" fontId="0" fillId="0" borderId="51" xfId="0" applyNumberFormat="1" applyBorder="1" applyAlignment="1">
      <alignment horizontal="center" vertical="center"/>
    </xf>
    <xf numFmtId="49" fontId="18" fillId="0" borderId="19"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18" fillId="0" borderId="53" xfId="0" applyNumberFormat="1" applyFont="1" applyBorder="1" applyAlignment="1">
      <alignment horizontal="center" vertical="center"/>
    </xf>
    <xf numFmtId="0" fontId="18" fillId="0" borderId="0" xfId="0" applyFont="1" applyAlignment="1">
      <alignment horizontal="center" vertical="center"/>
    </xf>
    <xf numFmtId="1" fontId="0" fillId="0" borderId="0" xfId="0" applyNumberFormat="1" applyAlignment="1">
      <alignment horizontal="center" vertical="center"/>
    </xf>
    <xf numFmtId="174" fontId="0" fillId="0" borderId="51" xfId="0" applyNumberFormat="1" applyBorder="1" applyAlignment="1">
      <alignment horizontal="center" vertical="center"/>
    </xf>
    <xf numFmtId="0" fontId="0" fillId="0" borderId="5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55" xfId="0" applyBorder="1" applyAlignment="1">
      <alignment horizontal="center" vertical="center"/>
    </xf>
    <xf numFmtId="0" fontId="0" fillId="0" borderId="61" xfId="0" applyBorder="1" applyAlignment="1">
      <alignment horizontal="center" vertical="center"/>
    </xf>
    <xf numFmtId="174" fontId="0" fillId="0" borderId="12" xfId="0" applyNumberFormat="1" applyBorder="1" applyAlignment="1">
      <alignment horizontal="center" vertical="center"/>
    </xf>
    <xf numFmtId="174" fontId="0" fillId="0" borderId="55" xfId="0" applyNumberFormat="1" applyBorder="1" applyAlignment="1">
      <alignment horizontal="center" vertical="center"/>
    </xf>
    <xf numFmtId="2" fontId="0" fillId="0" borderId="51" xfId="0" applyNumberFormat="1" applyBorder="1" applyAlignment="1">
      <alignment horizontal="center" vertical="center"/>
    </xf>
    <xf numFmtId="0" fontId="0" fillId="0" borderId="0" xfId="0" applyAlignment="1">
      <alignment horizontal="center" vertical="center"/>
    </xf>
    <xf numFmtId="49" fontId="18" fillId="0" borderId="0" xfId="0" applyNumberFormat="1" applyFont="1" applyAlignment="1">
      <alignment horizontal="center" vertical="center"/>
    </xf>
    <xf numFmtId="0" fontId="0" fillId="0" borderId="8" xfId="0" applyBorder="1" applyAlignment="1">
      <alignment horizontal="center" vertical="center"/>
    </xf>
    <xf numFmtId="0" fontId="0" fillId="0" borderId="50" xfId="0" applyBorder="1" applyAlignment="1">
      <alignment horizontal="center" vertical="center"/>
    </xf>
    <xf numFmtId="0" fontId="0" fillId="0" borderId="54" xfId="0" applyBorder="1" applyAlignment="1">
      <alignment horizontal="center" vertical="center"/>
    </xf>
    <xf numFmtId="0" fontId="22" fillId="0" borderId="19" xfId="0" applyFont="1" applyBorder="1" applyAlignment="1">
      <alignment horizontal="left" vertical="center"/>
    </xf>
    <xf numFmtId="14" fontId="23" fillId="0" borderId="7" xfId="0" applyNumberFormat="1" applyFont="1" applyBorder="1" applyAlignment="1">
      <alignment horizontal="left"/>
    </xf>
    <xf numFmtId="0" fontId="22" fillId="0" borderId="22" xfId="0" applyFont="1" applyBorder="1"/>
    <xf numFmtId="0" fontId="22" fillId="0" borderId="22" xfId="0" applyFont="1" applyBorder="1" applyAlignment="1">
      <alignment horizontal="center"/>
    </xf>
    <xf numFmtId="0" fontId="22" fillId="0" borderId="18" xfId="0" applyFont="1" applyBorder="1" applyAlignment="1">
      <alignment horizontal="center"/>
    </xf>
    <xf numFmtId="0" fontId="21" fillId="7" borderId="63" xfId="0" applyFont="1" applyFill="1" applyBorder="1" applyAlignment="1" applyProtection="1">
      <alignment horizontal="center"/>
      <protection locked="0"/>
    </xf>
    <xf numFmtId="0" fontId="21" fillId="7" borderId="68" xfId="0" applyFont="1" applyFill="1" applyBorder="1" applyAlignment="1" applyProtection="1">
      <alignment horizontal="center"/>
      <protection locked="0"/>
    </xf>
    <xf numFmtId="0" fontId="21" fillId="7" borderId="23" xfId="0" applyFont="1" applyFill="1" applyBorder="1" applyAlignment="1" applyProtection="1">
      <alignment horizontal="center"/>
      <protection locked="0"/>
    </xf>
    <xf numFmtId="0" fontId="20" fillId="0" borderId="63" xfId="0" applyFont="1" applyBorder="1" applyAlignment="1">
      <alignment horizontal="center"/>
    </xf>
    <xf numFmtId="0" fontId="0" fillId="0" borderId="0" xfId="0" applyAlignment="1">
      <alignment vertical="center"/>
    </xf>
    <xf numFmtId="0" fontId="22" fillId="0" borderId="1" xfId="0" applyFont="1" applyBorder="1" applyAlignment="1">
      <alignment horizontal="center"/>
    </xf>
    <xf numFmtId="49" fontId="21" fillId="7" borderId="6" xfId="0" applyNumberFormat="1" applyFont="1" applyFill="1" applyBorder="1" applyAlignment="1" applyProtection="1">
      <alignment horizontal="center"/>
      <protection locked="0"/>
    </xf>
    <xf numFmtId="0" fontId="21" fillId="7" borderId="26" xfId="0" applyFont="1" applyFill="1" applyBorder="1" applyAlignment="1" applyProtection="1">
      <alignment horizontal="center"/>
      <protection locked="0"/>
    </xf>
    <xf numFmtId="0" fontId="21" fillId="7" borderId="29" xfId="0" applyFont="1" applyFill="1" applyBorder="1" applyAlignment="1" applyProtection="1">
      <alignment horizontal="center"/>
      <protection locked="0"/>
    </xf>
    <xf numFmtId="0" fontId="22" fillId="0" borderId="34" xfId="0" applyFont="1" applyBorder="1"/>
    <xf numFmtId="0" fontId="22" fillId="0" borderId="42" xfId="0" applyFont="1" applyBorder="1"/>
    <xf numFmtId="0" fontId="22" fillId="0" borderId="35" xfId="0" applyFont="1" applyBorder="1"/>
    <xf numFmtId="0" fontId="22" fillId="0" borderId="24" xfId="0" applyFont="1" applyBorder="1"/>
    <xf numFmtId="0" fontId="22" fillId="0" borderId="0" xfId="0" applyFont="1"/>
    <xf numFmtId="0" fontId="0" fillId="0" borderId="20" xfId="0" applyBorder="1"/>
    <xf numFmtId="0" fontId="0" fillId="0" borderId="33" xfId="0" applyBorder="1" applyAlignment="1">
      <alignment horizontal="center" vertical="center"/>
    </xf>
    <xf numFmtId="0" fontId="20" fillId="0" borderId="72" xfId="0" applyFont="1" applyBorder="1" applyAlignment="1">
      <alignment horizontal="right" vertical="center"/>
    </xf>
    <xf numFmtId="0" fontId="26" fillId="0" borderId="72" xfId="0" applyFont="1" applyBorder="1" applyAlignment="1">
      <alignment horizontal="center" vertical="center"/>
    </xf>
    <xf numFmtId="0" fontId="20" fillId="0" borderId="49" xfId="0" applyFont="1" applyBorder="1" applyAlignment="1">
      <alignment horizontal="right" vertical="center"/>
    </xf>
    <xf numFmtId="0" fontId="20" fillId="0" borderId="43" xfId="0" applyFont="1" applyBorder="1" applyAlignment="1">
      <alignment horizontal="right" vertical="center"/>
    </xf>
    <xf numFmtId="0" fontId="26" fillId="0" borderId="39" xfId="0" applyFont="1" applyBorder="1" applyAlignment="1">
      <alignment horizontal="center" vertical="center"/>
    </xf>
    <xf numFmtId="0" fontId="26" fillId="0" borderId="33" xfId="0" applyFont="1" applyBorder="1" applyAlignment="1">
      <alignment horizontal="center" vertical="center"/>
    </xf>
    <xf numFmtId="0" fontId="0" fillId="0" borderId="24" xfId="0" applyBorder="1"/>
    <xf numFmtId="0" fontId="26" fillId="0" borderId="31" xfId="0" applyFont="1" applyBorder="1" applyAlignment="1">
      <alignment horizontal="center" vertical="center"/>
    </xf>
    <xf numFmtId="0" fontId="25" fillId="0" borderId="72" xfId="0" applyFont="1" applyBorder="1" applyAlignment="1">
      <alignment horizontal="right" vertical="center"/>
    </xf>
    <xf numFmtId="0" fontId="26" fillId="0" borderId="7" xfId="0" applyFont="1" applyBorder="1" applyAlignment="1">
      <alignment horizontal="center" vertical="center"/>
    </xf>
    <xf numFmtId="0" fontId="25" fillId="0" borderId="49" xfId="0" applyFont="1" applyBorder="1" applyAlignment="1">
      <alignment horizontal="right" vertical="center"/>
    </xf>
    <xf numFmtId="0" fontId="26" fillId="0" borderId="9" xfId="0" applyFont="1" applyBorder="1" applyAlignment="1">
      <alignment horizontal="center" vertical="center"/>
    </xf>
    <xf numFmtId="0" fontId="0" fillId="0" borderId="40" xfId="0" applyBorder="1" applyAlignment="1">
      <alignment horizontal="center" vertical="center"/>
    </xf>
    <xf numFmtId="0" fontId="0" fillId="0" borderId="23" xfId="0" applyBorder="1" applyAlignment="1">
      <alignment horizontal="center" vertical="center"/>
    </xf>
    <xf numFmtId="0" fontId="25" fillId="0" borderId="43" xfId="0" applyFont="1" applyBorder="1" applyAlignment="1">
      <alignment horizontal="right" vertical="center"/>
    </xf>
    <xf numFmtId="0" fontId="26" fillId="0" borderId="44" xfId="0" applyFont="1" applyBorder="1" applyAlignment="1">
      <alignment horizontal="center" vertical="center"/>
    </xf>
    <xf numFmtId="0" fontId="0" fillId="0" borderId="38" xfId="0" applyBorder="1"/>
    <xf numFmtId="0" fontId="0" fillId="0" borderId="28" xfId="0" applyBorder="1"/>
    <xf numFmtId="0" fontId="0" fillId="0" borderId="29" xfId="0" applyBorder="1"/>
    <xf numFmtId="0" fontId="0" fillId="0" borderId="42" xfId="0" applyBorder="1"/>
    <xf numFmtId="0" fontId="0" fillId="0" borderId="35" xfId="0" applyBorder="1"/>
    <xf numFmtId="164" fontId="26" fillId="0" borderId="40" xfId="0" applyNumberFormat="1" applyFont="1" applyBorder="1" applyAlignment="1">
      <alignment horizontal="center" vertical="center"/>
    </xf>
    <xf numFmtId="164" fontId="26" fillId="0" borderId="49" xfId="0" applyNumberFormat="1" applyFont="1" applyBorder="1" applyAlignment="1">
      <alignment horizontal="center" vertical="center"/>
    </xf>
    <xf numFmtId="164" fontId="26" fillId="0" borderId="43" xfId="0" applyNumberFormat="1" applyFont="1" applyBorder="1" applyAlignment="1">
      <alignment horizontal="center" vertical="center"/>
    </xf>
    <xf numFmtId="0" fontId="0" fillId="0" borderId="0" xfId="0" applyAlignment="1">
      <alignment wrapText="1"/>
    </xf>
    <xf numFmtId="164" fontId="26" fillId="0" borderId="74" xfId="0" applyNumberFormat="1" applyFont="1" applyBorder="1" applyAlignment="1">
      <alignment horizontal="center" vertical="center"/>
    </xf>
    <xf numFmtId="164" fontId="26" fillId="0" borderId="33" xfId="0" applyNumberFormat="1" applyFont="1" applyBorder="1" applyAlignment="1">
      <alignment horizontal="center" vertical="center"/>
    </xf>
    <xf numFmtId="49" fontId="22" fillId="0" borderId="28" xfId="0" applyNumberFormat="1" applyFont="1" applyBorder="1" applyAlignment="1">
      <alignment horizontal="center" vertical="center"/>
    </xf>
    <xf numFmtId="2" fontId="22" fillId="0" borderId="28" xfId="0" applyNumberFormat="1" applyFont="1" applyBorder="1" applyAlignment="1">
      <alignment horizontal="center" vertical="center"/>
    </xf>
    <xf numFmtId="164" fontId="22" fillId="0" borderId="28" xfId="0" applyNumberFormat="1" applyFont="1" applyBorder="1" applyAlignment="1">
      <alignment horizontal="center" vertical="center"/>
    </xf>
    <xf numFmtId="0" fontId="20" fillId="0" borderId="28" xfId="0" applyFont="1" applyBorder="1" applyAlignment="1">
      <alignment horizontal="center" vertical="center"/>
    </xf>
    <xf numFmtId="164" fontId="26" fillId="0" borderId="29" xfId="0" applyNumberFormat="1" applyFont="1" applyBorder="1" applyAlignment="1">
      <alignment horizontal="center" vertical="center"/>
    </xf>
    <xf numFmtId="0" fontId="22" fillId="0" borderId="20" xfId="0" applyFont="1" applyBorder="1"/>
    <xf numFmtId="0" fontId="18" fillId="0" borderId="33" xfId="0" applyFont="1" applyBorder="1" applyAlignment="1">
      <alignment horizontal="center" vertical="center"/>
    </xf>
    <xf numFmtId="0" fontId="18" fillId="0" borderId="32" xfId="0" applyFont="1" applyBorder="1" applyAlignment="1">
      <alignment horizontal="center" vertical="center"/>
    </xf>
    <xf numFmtId="0" fontId="18" fillId="0" borderId="72" xfId="0" applyFont="1" applyBorder="1" applyAlignment="1">
      <alignment horizontal="center" vertical="center" wrapText="1"/>
    </xf>
    <xf numFmtId="0" fontId="18" fillId="0" borderId="7" xfId="0" applyFont="1" applyBorder="1" applyAlignment="1">
      <alignment horizontal="center" vertical="center" wrapText="1"/>
    </xf>
    <xf numFmtId="0" fontId="22" fillId="0" borderId="24" xfId="0" applyFont="1" applyBorder="1" applyAlignment="1">
      <alignment wrapText="1"/>
    </xf>
    <xf numFmtId="0" fontId="18" fillId="0" borderId="2" xfId="0" applyFont="1" applyBorder="1" applyAlignment="1">
      <alignment horizontal="center" vertical="center"/>
    </xf>
    <xf numFmtId="0" fontId="22" fillId="0" borderId="20" xfId="0" applyFont="1" applyBorder="1" applyAlignment="1">
      <alignment wrapText="1"/>
    </xf>
    <xf numFmtId="0" fontId="22" fillId="0" borderId="36" xfId="0" applyFont="1" applyBorder="1"/>
    <xf numFmtId="164" fontId="18" fillId="0" borderId="43" xfId="0" applyNumberFormat="1" applyFont="1" applyBorder="1" applyAlignment="1">
      <alignment horizontal="center" vertical="center" wrapText="1"/>
    </xf>
    <xf numFmtId="0" fontId="22" fillId="0" borderId="0" xfId="0" applyFont="1" applyAlignment="1">
      <alignment horizontal="center" vertical="center"/>
    </xf>
    <xf numFmtId="0" fontId="22" fillId="0" borderId="38" xfId="0" applyFont="1" applyBorder="1"/>
    <xf numFmtId="0" fontId="22" fillId="0" borderId="29" xfId="0" applyFont="1" applyBorder="1" applyAlignment="1">
      <alignment horizontal="center"/>
    </xf>
    <xf numFmtId="0" fontId="22" fillId="0" borderId="34" xfId="0" applyFont="1" applyBorder="1" applyAlignment="1">
      <alignment horizontal="center"/>
    </xf>
    <xf numFmtId="0" fontId="22" fillId="0" borderId="42" xfId="0" applyFont="1" applyBorder="1" applyAlignment="1">
      <alignment horizontal="center"/>
    </xf>
    <xf numFmtId="0" fontId="22" fillId="0" borderId="35" xfId="0" applyFont="1" applyBorder="1" applyAlignment="1">
      <alignment horizontal="center"/>
    </xf>
    <xf numFmtId="0" fontId="22" fillId="0" borderId="0" xfId="0" applyFont="1" applyAlignment="1">
      <alignment horizontal="center"/>
    </xf>
    <xf numFmtId="0" fontId="22" fillId="0" borderId="20" xfId="0" applyFont="1" applyBorder="1" applyAlignment="1">
      <alignment horizontal="center"/>
    </xf>
    <xf numFmtId="14" fontId="23" fillId="0" borderId="7" xfId="0" applyNumberFormat="1" applyFont="1" applyBorder="1" applyAlignment="1">
      <alignment horizontal="left" vertical="center"/>
    </xf>
    <xf numFmtId="0" fontId="31" fillId="0" borderId="0" xfId="0" applyFont="1" applyProtection="1">
      <protection hidden="1"/>
    </xf>
    <xf numFmtId="0" fontId="34" fillId="0" borderId="0" xfId="0" applyFont="1" applyAlignment="1" applyProtection="1">
      <alignment vertical="center" wrapText="1"/>
      <protection hidden="1"/>
    </xf>
    <xf numFmtId="164" fontId="34" fillId="0" borderId="0" xfId="0" applyNumberFormat="1" applyFont="1" applyAlignment="1" applyProtection="1">
      <alignment horizontal="left" vertical="top" wrapText="1"/>
      <protection hidden="1"/>
    </xf>
    <xf numFmtId="0" fontId="31" fillId="0" borderId="24" xfId="0" applyFont="1" applyBorder="1" applyAlignment="1" applyProtection="1">
      <alignment horizontal="left"/>
      <protection hidden="1"/>
    </xf>
    <xf numFmtId="0" fontId="31" fillId="0" borderId="0" xfId="0" applyFont="1" applyAlignment="1" applyProtection="1">
      <alignment horizontal="left"/>
      <protection hidden="1"/>
    </xf>
    <xf numFmtId="0" fontId="35" fillId="0" borderId="0" xfId="0" applyFont="1" applyProtection="1">
      <protection hidden="1"/>
    </xf>
    <xf numFmtId="14" fontId="31" fillId="0" borderId="0" xfId="0" applyNumberFormat="1" applyFont="1" applyProtection="1">
      <protection hidden="1"/>
    </xf>
    <xf numFmtId="0" fontId="31" fillId="0" borderId="38" xfId="0" applyFont="1" applyBorder="1" applyAlignment="1" applyProtection="1">
      <alignment horizontal="center" vertical="center" wrapText="1"/>
      <protection hidden="1"/>
    </xf>
    <xf numFmtId="0" fontId="31" fillId="0" borderId="33" xfId="0" applyFont="1" applyBorder="1" applyAlignment="1" applyProtection="1">
      <alignment horizontal="center" vertical="center" wrapText="1"/>
      <protection hidden="1"/>
    </xf>
    <xf numFmtId="0" fontId="31" fillId="0" borderId="33" xfId="0" applyFont="1" applyBorder="1" applyAlignment="1" applyProtection="1">
      <alignment horizontal="center" vertical="center"/>
      <protection hidden="1"/>
    </xf>
    <xf numFmtId="0" fontId="31" fillId="0" borderId="0" xfId="0" applyFont="1" applyAlignment="1" applyProtection="1">
      <alignment vertical="center" wrapText="1"/>
      <protection hidden="1"/>
    </xf>
    <xf numFmtId="0" fontId="29" fillId="0" borderId="19" xfId="0" applyFont="1" applyBorder="1" applyAlignment="1">
      <alignment horizontal="right" vertical="center"/>
    </xf>
    <xf numFmtId="168" fontId="29" fillId="7" borderId="72" xfId="0" applyNumberFormat="1" applyFont="1" applyFill="1" applyBorder="1" applyAlignment="1" applyProtection="1">
      <alignment horizontal="center" vertical="center"/>
      <protection locked="0"/>
    </xf>
    <xf numFmtId="168" fontId="31" fillId="0" borderId="72" xfId="0" applyNumberFormat="1" applyFont="1" applyBorder="1" applyAlignment="1">
      <alignment horizontal="center" vertical="center"/>
    </xf>
    <xf numFmtId="0" fontId="29" fillId="0" borderId="14" xfId="0" applyFont="1" applyBorder="1" applyAlignment="1">
      <alignment horizontal="right" vertical="center"/>
    </xf>
    <xf numFmtId="168" fontId="29" fillId="7" borderId="49" xfId="0" applyNumberFormat="1" applyFont="1" applyFill="1" applyBorder="1" applyAlignment="1" applyProtection="1">
      <alignment horizontal="center" vertical="center"/>
      <protection locked="0"/>
    </xf>
    <xf numFmtId="168" fontId="31" fillId="0" borderId="49" xfId="0" applyNumberFormat="1" applyFont="1" applyBorder="1" applyAlignment="1">
      <alignment horizontal="center" vertical="center"/>
    </xf>
    <xf numFmtId="168" fontId="31" fillId="0" borderId="49" xfId="0" applyNumberFormat="1" applyFont="1" applyBorder="1" applyAlignment="1">
      <alignment horizontal="center"/>
    </xf>
    <xf numFmtId="168" fontId="29" fillId="7" borderId="49" xfId="0" applyNumberFormat="1" applyFont="1" applyFill="1" applyBorder="1" applyAlignment="1" applyProtection="1">
      <alignment horizontal="center"/>
      <protection locked="0"/>
    </xf>
    <xf numFmtId="168" fontId="31" fillId="0" borderId="72" xfId="0" applyNumberFormat="1" applyFont="1" applyBorder="1" applyAlignment="1">
      <alignment horizontal="center"/>
    </xf>
    <xf numFmtId="0" fontId="29" fillId="0" borderId="38" xfId="0" applyFont="1" applyBorder="1" applyAlignment="1">
      <alignment horizontal="right" vertical="center"/>
    </xf>
    <xf numFmtId="168" fontId="29" fillId="7" borderId="43" xfId="0" applyNumberFormat="1" applyFont="1" applyFill="1" applyBorder="1" applyAlignment="1" applyProtection="1">
      <alignment horizontal="center"/>
      <protection locked="0"/>
    </xf>
    <xf numFmtId="168" fontId="29" fillId="7" borderId="43" xfId="0" applyNumberFormat="1" applyFont="1" applyFill="1" applyBorder="1" applyAlignment="1" applyProtection="1">
      <alignment horizontal="center" vertical="center"/>
      <protection locked="0"/>
    </xf>
    <xf numFmtId="168" fontId="31" fillId="0" borderId="39" xfId="0" applyNumberFormat="1" applyFont="1" applyBorder="1" applyAlignment="1">
      <alignment horizontal="center"/>
    </xf>
    <xf numFmtId="0" fontId="29" fillId="0" borderId="0" xfId="0" applyFont="1" applyProtection="1">
      <protection hidden="1"/>
    </xf>
    <xf numFmtId="0" fontId="29" fillId="0" borderId="0" xfId="0" applyFont="1" applyAlignment="1" applyProtection="1">
      <alignment horizontal="center"/>
      <protection hidden="1"/>
    </xf>
    <xf numFmtId="1" fontId="29" fillId="0" borderId="0" xfId="0" applyNumberFormat="1" applyFont="1" applyAlignment="1" applyProtection="1">
      <alignment horizontal="center"/>
      <protection hidden="1"/>
    </xf>
    <xf numFmtId="167" fontId="29" fillId="7" borderId="33" xfId="0" applyNumberFormat="1" applyFont="1" applyFill="1" applyBorder="1" applyAlignment="1" applyProtection="1">
      <alignment horizontal="center"/>
      <protection locked="0"/>
    </xf>
    <xf numFmtId="0" fontId="29" fillId="0" borderId="0" xfId="0" applyFont="1" applyAlignment="1" applyProtection="1">
      <alignment horizontal="center" vertical="top"/>
      <protection hidden="1"/>
    </xf>
    <xf numFmtId="0" fontId="31" fillId="0" borderId="0" xfId="0" applyFont="1" applyAlignment="1" applyProtection="1">
      <alignment horizontal="left" vertical="top"/>
      <protection hidden="1"/>
    </xf>
    <xf numFmtId="166" fontId="35" fillId="0" borderId="0" xfId="0" applyNumberFormat="1" applyFont="1" applyAlignment="1" applyProtection="1">
      <alignment horizontal="center"/>
      <protection hidden="1"/>
    </xf>
    <xf numFmtId="0" fontId="36" fillId="0" borderId="0" xfId="0" applyFont="1" applyAlignment="1" applyProtection="1">
      <alignment horizontal="center"/>
      <protection hidden="1"/>
    </xf>
    <xf numFmtId="2" fontId="37" fillId="0" borderId="0" xfId="0" applyNumberFormat="1" applyFont="1" applyAlignment="1" applyProtection="1">
      <alignment horizontal="center"/>
      <protection hidden="1"/>
    </xf>
    <xf numFmtId="0" fontId="37" fillId="0" borderId="0" xfId="0" applyFont="1" applyAlignment="1" applyProtection="1">
      <alignment horizontal="center"/>
      <protection hidden="1"/>
    </xf>
    <xf numFmtId="165" fontId="31" fillId="0" borderId="0" xfId="0" applyNumberFormat="1" applyFont="1" applyProtection="1">
      <protection hidden="1"/>
    </xf>
    <xf numFmtId="0" fontId="31" fillId="0" borderId="24" xfId="0" applyFont="1" applyBorder="1" applyProtection="1">
      <protection hidden="1"/>
    </xf>
    <xf numFmtId="0" fontId="31" fillId="0" borderId="0" xfId="0" applyFont="1" applyAlignment="1" applyProtection="1">
      <alignment horizontal="center"/>
      <protection hidden="1"/>
    </xf>
    <xf numFmtId="0" fontId="31" fillId="0" borderId="20" xfId="0" applyFont="1" applyBorder="1" applyProtection="1">
      <protection hidden="1"/>
    </xf>
    <xf numFmtId="1" fontId="29" fillId="0" borderId="0" xfId="0" applyNumberFormat="1" applyFont="1" applyProtection="1">
      <protection hidden="1"/>
    </xf>
    <xf numFmtId="1" fontId="29" fillId="0" borderId="24" xfId="3" applyNumberFormat="1" applyFont="1" applyBorder="1" applyAlignment="1" applyProtection="1">
      <alignment horizontal="center" vertical="center"/>
      <protection hidden="1"/>
    </xf>
    <xf numFmtId="0" fontId="31" fillId="0" borderId="30" xfId="0" applyFont="1" applyBorder="1" applyAlignment="1">
      <alignment horizontal="center" vertical="center" wrapText="1"/>
    </xf>
    <xf numFmtId="0" fontId="31" fillId="0" borderId="33" xfId="0" applyFont="1" applyBorder="1" applyAlignment="1">
      <alignment horizontal="center" vertical="center" wrapText="1"/>
    </xf>
    <xf numFmtId="1" fontId="31" fillId="0" borderId="0" xfId="0" applyNumberFormat="1" applyFont="1" applyAlignment="1" applyProtection="1">
      <alignment horizontal="center" vertical="center" wrapText="1"/>
      <protection hidden="1"/>
    </xf>
    <xf numFmtId="0" fontId="31" fillId="0" borderId="0" xfId="0" applyFont="1" applyAlignment="1" applyProtection="1">
      <alignment vertical="center"/>
      <protection hidden="1"/>
    </xf>
    <xf numFmtId="0" fontId="29" fillId="0" borderId="33" xfId="0" applyFont="1" applyBorder="1" applyAlignment="1" applyProtection="1">
      <alignment horizontal="center" vertical="center"/>
      <protection hidden="1"/>
    </xf>
    <xf numFmtId="1" fontId="31" fillId="0" borderId="33" xfId="0" quotePrefix="1" applyNumberFormat="1" applyFont="1" applyBorder="1" applyAlignment="1">
      <alignment horizontal="center" vertical="center" wrapText="1"/>
    </xf>
    <xf numFmtId="1" fontId="31" fillId="0" borderId="33" xfId="0" applyNumberFormat="1" applyFont="1" applyBorder="1" applyAlignment="1">
      <alignment horizontal="center" vertical="center" wrapText="1"/>
    </xf>
    <xf numFmtId="1" fontId="31" fillId="0" borderId="30" xfId="0" applyNumberFormat="1" applyFont="1" applyBorder="1" applyAlignment="1">
      <alignment horizontal="center" vertical="center" wrapText="1"/>
    </xf>
    <xf numFmtId="0" fontId="31" fillId="0" borderId="0" xfId="3" applyNumberFormat="1" applyFont="1" applyFill="1" applyBorder="1" applyAlignment="1" applyProtection="1">
      <alignment horizontal="center" vertical="center"/>
    </xf>
    <xf numFmtId="164" fontId="31" fillId="0" borderId="0" xfId="3" applyNumberFormat="1" applyFont="1" applyFill="1" applyBorder="1" applyAlignment="1" applyProtection="1">
      <alignment horizontal="center" vertical="center"/>
    </xf>
    <xf numFmtId="0" fontId="31" fillId="0" borderId="0" xfId="0" applyFont="1" applyAlignment="1" applyProtection="1">
      <alignment horizontal="center" vertical="center"/>
      <protection hidden="1"/>
    </xf>
    <xf numFmtId="164" fontId="31" fillId="0" borderId="0" xfId="0" applyNumberFormat="1" applyFont="1" applyAlignment="1">
      <alignment horizontal="center" vertical="center"/>
    </xf>
    <xf numFmtId="2" fontId="38" fillId="0" borderId="0" xfId="0" applyNumberFormat="1" applyFont="1" applyAlignment="1" applyProtection="1">
      <alignment vertical="center"/>
      <protection hidden="1"/>
    </xf>
    <xf numFmtId="49" fontId="31" fillId="0" borderId="37" xfId="0" applyNumberFormat="1" applyFont="1" applyBorder="1" applyAlignment="1" applyProtection="1">
      <alignment horizontal="center"/>
      <protection hidden="1"/>
    </xf>
    <xf numFmtId="0" fontId="31" fillId="0" borderId="0" xfId="0" quotePrefix="1" applyFont="1" applyAlignment="1" applyProtection="1">
      <alignment horizontal="center" vertical="center"/>
      <protection hidden="1"/>
    </xf>
    <xf numFmtId="49" fontId="31" fillId="0" borderId="36" xfId="0" applyNumberFormat="1" applyFont="1" applyBorder="1" applyAlignment="1" applyProtection="1">
      <alignment horizontal="center"/>
      <protection hidden="1"/>
    </xf>
    <xf numFmtId="9" fontId="31" fillId="0" borderId="0" xfId="3" applyFont="1" applyFill="1" applyBorder="1" applyAlignment="1" applyProtection="1">
      <alignment horizontal="center"/>
    </xf>
    <xf numFmtId="173" fontId="39" fillId="0" borderId="0" xfId="3" applyNumberFormat="1" applyFont="1" applyBorder="1" applyAlignment="1" applyProtection="1">
      <alignment horizontal="center"/>
    </xf>
    <xf numFmtId="173" fontId="31" fillId="0" borderId="0" xfId="0" applyNumberFormat="1" applyFont="1" applyAlignment="1">
      <alignment horizontal="center"/>
    </xf>
    <xf numFmtId="167" fontId="31" fillId="0" borderId="0" xfId="0" applyNumberFormat="1" applyFont="1" applyAlignment="1">
      <alignment horizontal="center"/>
    </xf>
    <xf numFmtId="0" fontId="31" fillId="0" borderId="0" xfId="0" applyFont="1" applyAlignment="1">
      <alignment horizontal="center"/>
    </xf>
    <xf numFmtId="164" fontId="31" fillId="0" borderId="0" xfId="0" applyNumberFormat="1" applyFont="1" applyAlignment="1">
      <alignment horizontal="center"/>
    </xf>
    <xf numFmtId="49" fontId="31" fillId="0" borderId="39" xfId="0" applyNumberFormat="1" applyFont="1" applyBorder="1" applyAlignment="1" applyProtection="1">
      <alignment horizontal="center"/>
      <protection hidden="1"/>
    </xf>
    <xf numFmtId="49" fontId="29" fillId="0" borderId="39" xfId="0" applyNumberFormat="1" applyFont="1" applyBorder="1" applyAlignment="1" applyProtection="1">
      <alignment horizontal="center" vertical="center" wrapText="1"/>
      <protection hidden="1"/>
    </xf>
    <xf numFmtId="0" fontId="29" fillId="0" borderId="0" xfId="3" applyNumberFormat="1" applyFont="1" applyFill="1" applyBorder="1" applyAlignment="1" applyProtection="1">
      <alignment horizontal="center" vertical="center"/>
    </xf>
    <xf numFmtId="2" fontId="31" fillId="0" borderId="31" xfId="0" applyNumberFormat="1" applyFont="1" applyBorder="1" applyAlignment="1">
      <alignment horizontal="center"/>
    </xf>
    <xf numFmtId="0" fontId="38" fillId="0" borderId="0" xfId="0" applyFont="1" applyAlignment="1">
      <alignment horizontal="center"/>
    </xf>
    <xf numFmtId="2" fontId="29" fillId="0" borderId="0" xfId="0" applyNumberFormat="1" applyFont="1" applyProtection="1">
      <protection hidden="1"/>
    </xf>
    <xf numFmtId="49" fontId="31" fillId="0" borderId="0" xfId="0" applyNumberFormat="1" applyFont="1" applyProtection="1">
      <protection hidden="1"/>
    </xf>
    <xf numFmtId="167" fontId="40" fillId="0" borderId="0" xfId="0" applyNumberFormat="1" applyFont="1" applyProtection="1">
      <protection hidden="1"/>
    </xf>
    <xf numFmtId="164" fontId="36" fillId="0" borderId="0" xfId="0" applyNumberFormat="1" applyFont="1" applyAlignment="1" applyProtection="1">
      <alignment horizontal="center"/>
      <protection hidden="1"/>
    </xf>
    <xf numFmtId="167" fontId="29" fillId="0" borderId="0" xfId="0" applyNumberFormat="1" applyFont="1" applyProtection="1">
      <protection hidden="1"/>
    </xf>
    <xf numFmtId="0" fontId="29" fillId="0" borderId="0" xfId="0" applyFont="1" applyAlignment="1" applyProtection="1">
      <alignment horizontal="left" vertical="center"/>
      <protection hidden="1"/>
    </xf>
    <xf numFmtId="0" fontId="35" fillId="0" borderId="0" xfId="0" applyFont="1" applyAlignment="1" applyProtection="1">
      <alignment vertical="center"/>
      <protection hidden="1"/>
    </xf>
    <xf numFmtId="167" fontId="31" fillId="0" borderId="0" xfId="0" applyNumberFormat="1" applyFont="1" applyAlignment="1" applyProtection="1">
      <alignment horizontal="center" vertical="center"/>
      <protection hidden="1"/>
    </xf>
    <xf numFmtId="0" fontId="29" fillId="0" borderId="0" xfId="0" applyFont="1" applyAlignment="1">
      <alignment vertical="center"/>
    </xf>
    <xf numFmtId="0" fontId="31" fillId="0" borderId="0" xfId="0" applyFont="1" applyAlignment="1">
      <alignment vertical="center"/>
    </xf>
    <xf numFmtId="0" fontId="31" fillId="0" borderId="0" xfId="0" applyFont="1" applyAlignment="1">
      <alignment horizontal="center" vertical="center" wrapText="1"/>
    </xf>
    <xf numFmtId="0" fontId="31" fillId="0" borderId="0" xfId="0" applyFont="1" applyAlignment="1" applyProtection="1">
      <alignment horizontal="center" vertical="center" wrapText="1"/>
      <protection hidden="1"/>
    </xf>
    <xf numFmtId="167" fontId="31" fillId="0" borderId="0" xfId="0" applyNumberFormat="1" applyFont="1" applyAlignment="1" applyProtection="1">
      <alignment horizontal="center"/>
      <protection hidden="1"/>
    </xf>
    <xf numFmtId="2" fontId="31" fillId="0" borderId="0" xfId="0" applyNumberFormat="1" applyFont="1" applyAlignment="1" applyProtection="1">
      <alignment horizontal="center"/>
      <protection hidden="1"/>
    </xf>
    <xf numFmtId="167" fontId="31" fillId="0" borderId="0" xfId="0" applyNumberFormat="1" applyFont="1" applyProtection="1">
      <protection hidden="1"/>
    </xf>
    <xf numFmtId="168" fontId="41" fillId="0" borderId="0" xfId="0" applyNumberFormat="1" applyFont="1" applyProtection="1">
      <protection hidden="1"/>
    </xf>
    <xf numFmtId="49" fontId="41" fillId="0" borderId="0" xfId="0" applyNumberFormat="1" applyFont="1" applyProtection="1">
      <protection hidden="1"/>
    </xf>
    <xf numFmtId="0" fontId="41" fillId="0" borderId="0" xfId="0" applyFont="1" applyProtection="1">
      <protection hidden="1"/>
    </xf>
    <xf numFmtId="49" fontId="31" fillId="0" borderId="0" xfId="0" applyNumberFormat="1" applyFont="1" applyAlignment="1" applyProtection="1">
      <alignment horizontal="right"/>
      <protection hidden="1"/>
    </xf>
    <xf numFmtId="164" fontId="31" fillId="0" borderId="0" xfId="0" applyNumberFormat="1" applyFont="1" applyAlignment="1" applyProtection="1">
      <alignment horizontal="right"/>
      <protection hidden="1"/>
    </xf>
    <xf numFmtId="2" fontId="31" fillId="0" borderId="0" xfId="0" applyNumberFormat="1" applyFont="1" applyProtection="1">
      <protection hidden="1"/>
    </xf>
    <xf numFmtId="168" fontId="31" fillId="0" borderId="0" xfId="0" applyNumberFormat="1" applyFont="1" applyProtection="1">
      <protection hidden="1"/>
    </xf>
    <xf numFmtId="0" fontId="42" fillId="0" borderId="0" xfId="0" applyFont="1" applyAlignment="1" applyProtection="1">
      <alignment horizontal="center"/>
      <protection hidden="1"/>
    </xf>
    <xf numFmtId="0" fontId="31" fillId="0" borderId="0" xfId="0" applyFont="1"/>
    <xf numFmtId="0" fontId="31" fillId="0" borderId="0" xfId="0" applyFont="1" applyAlignment="1">
      <alignment horizontal="left"/>
    </xf>
    <xf numFmtId="0" fontId="43" fillId="0" borderId="0" xfId="0" applyFont="1" applyAlignment="1">
      <alignment vertical="center"/>
    </xf>
    <xf numFmtId="0" fontId="29" fillId="0" borderId="0" xfId="0" applyFont="1" applyAlignment="1">
      <alignment horizontal="centerContinuous"/>
    </xf>
    <xf numFmtId="169" fontId="31" fillId="0" borderId="0" xfId="0" applyNumberFormat="1" applyFont="1"/>
    <xf numFmtId="0" fontId="44" fillId="0" borderId="34" xfId="0" applyFont="1" applyBorder="1" applyAlignment="1">
      <alignment horizontal="left" vertical="center"/>
    </xf>
    <xf numFmtId="0" fontId="31" fillId="0" borderId="37" xfId="0" applyFont="1" applyBorder="1" applyAlignment="1">
      <alignment horizontal="center" vertical="center"/>
    </xf>
    <xf numFmtId="0" fontId="31" fillId="0" borderId="37" xfId="0" applyFont="1" applyBorder="1" applyAlignment="1">
      <alignment horizontal="center" vertical="center" wrapText="1"/>
    </xf>
    <xf numFmtId="2" fontId="31" fillId="0" borderId="37" xfId="0" applyNumberFormat="1" applyFont="1" applyBorder="1" applyAlignment="1">
      <alignment horizontal="center" vertical="center" wrapText="1"/>
    </xf>
    <xf numFmtId="0" fontId="29" fillId="0" borderId="0" xfId="0" applyFont="1" applyAlignment="1">
      <alignment horizontal="center" vertical="center"/>
    </xf>
    <xf numFmtId="169" fontId="31" fillId="0" borderId="0" xfId="0" applyNumberFormat="1" applyFont="1" applyAlignment="1">
      <alignment vertical="center"/>
    </xf>
    <xf numFmtId="0" fontId="31" fillId="0" borderId="37" xfId="0" applyFont="1" applyBorder="1" applyAlignment="1">
      <alignment horizontal="left"/>
    </xf>
    <xf numFmtId="0" fontId="31" fillId="0" borderId="36" xfId="0" applyFont="1" applyBorder="1" applyAlignment="1">
      <alignment horizontal="left"/>
    </xf>
    <xf numFmtId="2" fontId="29" fillId="7" borderId="20" xfId="0" applyNumberFormat="1" applyFont="1" applyFill="1" applyBorder="1" applyAlignment="1" applyProtection="1">
      <alignment horizontal="center"/>
      <protection locked="0"/>
    </xf>
    <xf numFmtId="172" fontId="34" fillId="0" borderId="0" xfId="0" applyNumberFormat="1" applyFont="1" applyAlignment="1">
      <alignment horizontal="center" vertical="center" wrapText="1"/>
    </xf>
    <xf numFmtId="0" fontId="31" fillId="0" borderId="39" xfId="0" applyFont="1" applyBorder="1" applyAlignment="1">
      <alignment horizontal="left"/>
    </xf>
    <xf numFmtId="2" fontId="29" fillId="7" borderId="29" xfId="0" applyNumberFormat="1" applyFont="1" applyFill="1" applyBorder="1" applyAlignment="1" applyProtection="1">
      <alignment horizontal="center"/>
      <protection locked="0"/>
    </xf>
    <xf numFmtId="0" fontId="29" fillId="0" borderId="0" xfId="0" applyFont="1" applyAlignment="1">
      <alignment horizontal="center"/>
    </xf>
    <xf numFmtId="0" fontId="31" fillId="0" borderId="0" xfId="0" applyFont="1" applyAlignment="1">
      <alignment horizontal="right"/>
    </xf>
    <xf numFmtId="1" fontId="36" fillId="0" borderId="0" xfId="0" applyNumberFormat="1" applyFont="1" applyAlignment="1">
      <alignment horizontal="center"/>
    </xf>
    <xf numFmtId="0" fontId="31" fillId="0" borderId="0" xfId="0" quotePrefix="1" applyFont="1"/>
    <xf numFmtId="0" fontId="45" fillId="0" borderId="0" xfId="0" applyFont="1" applyAlignment="1">
      <alignment vertical="center" wrapText="1"/>
    </xf>
    <xf numFmtId="0" fontId="31" fillId="0" borderId="0" xfId="0" applyFont="1" applyAlignment="1">
      <alignment horizontal="center" vertical="center"/>
    </xf>
    <xf numFmtId="164" fontId="36" fillId="0" borderId="0" xfId="0" applyNumberFormat="1" applyFont="1" applyAlignment="1">
      <alignment horizontal="center"/>
    </xf>
    <xf numFmtId="1" fontId="31" fillId="0" borderId="0" xfId="0" applyNumberFormat="1" applyFont="1"/>
    <xf numFmtId="0" fontId="29" fillId="7" borderId="31" xfId="0" applyFont="1" applyFill="1" applyBorder="1" applyAlignment="1" applyProtection="1">
      <alignment horizontal="center" vertical="center"/>
      <protection locked="0"/>
    </xf>
    <xf numFmtId="0" fontId="29" fillId="0" borderId="31" xfId="0" applyFont="1" applyBorder="1" applyAlignment="1">
      <alignment horizontal="center" vertical="center"/>
    </xf>
    <xf numFmtId="0" fontId="29" fillId="0" borderId="33" xfId="0" applyFont="1" applyBorder="1" applyAlignment="1">
      <alignment horizontal="center" vertical="center"/>
    </xf>
    <xf numFmtId="49" fontId="29" fillId="0" borderId="24" xfId="0" applyNumberFormat="1" applyFont="1" applyBorder="1" applyAlignment="1">
      <alignment horizontal="right" vertical="center"/>
    </xf>
    <xf numFmtId="49" fontId="29" fillId="0" borderId="0" xfId="0" applyNumberFormat="1" applyFont="1" applyAlignment="1">
      <alignment horizontal="right" vertical="center"/>
    </xf>
    <xf numFmtId="49" fontId="29" fillId="0" borderId="67" xfId="0" applyNumberFormat="1" applyFont="1" applyBorder="1" applyAlignment="1">
      <alignment horizontal="right" vertical="center"/>
    </xf>
    <xf numFmtId="165" fontId="47" fillId="0" borderId="68" xfId="0" applyNumberFormat="1" applyFont="1" applyBorder="1" applyAlignment="1">
      <alignment horizontal="center"/>
    </xf>
    <xf numFmtId="0" fontId="29" fillId="0" borderId="58" xfId="0" applyFont="1" applyBorder="1" applyAlignment="1">
      <alignment horizontal="right"/>
    </xf>
    <xf numFmtId="2" fontId="29" fillId="7" borderId="51" xfId="0" applyNumberFormat="1" applyFont="1" applyFill="1" applyBorder="1" applyAlignment="1" applyProtection="1">
      <alignment horizontal="center"/>
      <protection locked="0"/>
    </xf>
    <xf numFmtId="165" fontId="47" fillId="0" borderId="59" xfId="0" applyNumberFormat="1" applyFont="1" applyBorder="1" applyAlignment="1">
      <alignment horizontal="center"/>
    </xf>
    <xf numFmtId="164" fontId="29" fillId="7" borderId="51" xfId="0" applyNumberFormat="1" applyFont="1" applyFill="1" applyBorder="1" applyAlignment="1" applyProtection="1">
      <alignment horizontal="center"/>
      <protection locked="0"/>
    </xf>
    <xf numFmtId="0" fontId="47" fillId="0" borderId="59" xfId="0" quotePrefix="1" applyFont="1" applyBorder="1" applyAlignment="1">
      <alignment horizontal="center" vertical="center"/>
    </xf>
    <xf numFmtId="0" fontId="48" fillId="0" borderId="59" xfId="0" quotePrefix="1" applyFont="1" applyBorder="1"/>
    <xf numFmtId="1" fontId="29" fillId="7" borderId="51" xfId="0" applyNumberFormat="1" applyFont="1" applyFill="1" applyBorder="1" applyAlignment="1" applyProtection="1">
      <alignment horizontal="center"/>
      <protection locked="0"/>
    </xf>
    <xf numFmtId="0" fontId="39" fillId="0" borderId="59" xfId="0" quotePrefix="1" applyFont="1" applyBorder="1"/>
    <xf numFmtId="0" fontId="29" fillId="0" borderId="60" xfId="0" applyFont="1" applyBorder="1" applyAlignment="1">
      <alignment horizontal="right" wrapText="1"/>
    </xf>
    <xf numFmtId="164" fontId="29" fillId="7" borderId="55" xfId="0" applyNumberFormat="1" applyFont="1" applyFill="1" applyBorder="1" applyAlignment="1" applyProtection="1">
      <alignment horizontal="center"/>
      <protection locked="0"/>
    </xf>
    <xf numFmtId="0" fontId="47" fillId="0" borderId="61" xfId="0" quotePrefix="1" applyFont="1" applyBorder="1" applyAlignment="1">
      <alignment horizontal="center" vertical="center"/>
    </xf>
    <xf numFmtId="1" fontId="31" fillId="0" borderId="0" xfId="0" applyNumberFormat="1" applyFont="1" applyAlignment="1">
      <alignment horizontal="center" vertical="center"/>
    </xf>
    <xf numFmtId="0" fontId="29" fillId="0" borderId="0" xfId="0" quotePrefix="1" applyFont="1" applyAlignment="1">
      <alignment horizontal="left" vertical="center"/>
    </xf>
    <xf numFmtId="1" fontId="29" fillId="7" borderId="52" xfId="0" applyNumberFormat="1" applyFont="1" applyFill="1" applyBorder="1" applyAlignment="1" applyProtection="1">
      <alignment horizontal="center"/>
      <protection locked="0"/>
    </xf>
    <xf numFmtId="0" fontId="31" fillId="0" borderId="40" xfId="0" quotePrefix="1" applyFont="1" applyBorder="1"/>
    <xf numFmtId="0" fontId="31" fillId="0" borderId="49" xfId="0" quotePrefix="1" applyFont="1" applyBorder="1"/>
    <xf numFmtId="0" fontId="29" fillId="0" borderId="60" xfId="0" applyFont="1" applyBorder="1" applyAlignment="1">
      <alignment horizontal="right"/>
    </xf>
    <xf numFmtId="1" fontId="29" fillId="0" borderId="56" xfId="0" applyNumberFormat="1" applyFont="1" applyBorder="1" applyAlignment="1">
      <alignment horizontal="center" vertical="center"/>
    </xf>
    <xf numFmtId="0" fontId="31" fillId="0" borderId="43" xfId="0" quotePrefix="1" applyFont="1" applyBorder="1"/>
    <xf numFmtId="0" fontId="43" fillId="0" borderId="0" xfId="0" applyFont="1"/>
    <xf numFmtId="0" fontId="31" fillId="0" borderId="0" xfId="0" applyFont="1" applyAlignment="1">
      <alignment wrapText="1"/>
    </xf>
    <xf numFmtId="0" fontId="31" fillId="0" borderId="0" xfId="0" applyFont="1" applyAlignment="1">
      <alignment horizontal="right" wrapText="1"/>
    </xf>
    <xf numFmtId="1" fontId="29" fillId="0" borderId="0" xfId="0" applyNumberFormat="1" applyFont="1" applyAlignment="1">
      <alignment horizontal="center"/>
    </xf>
    <xf numFmtId="0" fontId="31" fillId="0" borderId="33" xfId="0" applyFont="1" applyBorder="1" applyAlignment="1">
      <alignment horizontal="center" vertical="center"/>
    </xf>
    <xf numFmtId="0" fontId="31" fillId="0" borderId="24" xfId="0" applyFont="1" applyBorder="1" applyAlignment="1">
      <alignment horizontal="left" vertical="center"/>
    </xf>
    <xf numFmtId="0" fontId="31" fillId="0" borderId="38" xfId="0" applyFont="1" applyBorder="1" applyAlignment="1">
      <alignment horizontal="left" vertical="center"/>
    </xf>
    <xf numFmtId="1" fontId="29" fillId="0" borderId="0" xfId="0" applyNumberFormat="1" applyFont="1"/>
    <xf numFmtId="0" fontId="43" fillId="0" borderId="38" xfId="0" applyFont="1" applyBorder="1" applyAlignment="1">
      <alignment horizontal="left"/>
    </xf>
    <xf numFmtId="0" fontId="31" fillId="0" borderId="39" xfId="0" applyFont="1" applyBorder="1" applyAlignment="1">
      <alignment horizontal="center"/>
    </xf>
    <xf numFmtId="0" fontId="31" fillId="0" borderId="33" xfId="0" applyFont="1" applyBorder="1" applyAlignment="1">
      <alignment horizontal="center"/>
    </xf>
    <xf numFmtId="0" fontId="31" fillId="0" borderId="38" xfId="0" applyFont="1" applyBorder="1" applyAlignment="1">
      <alignment horizontal="center"/>
    </xf>
    <xf numFmtId="2" fontId="29" fillId="0" borderId="33" xfId="0" applyNumberFormat="1" applyFont="1" applyBorder="1" applyAlignment="1">
      <alignment horizontal="centerContinuous"/>
    </xf>
    <xf numFmtId="2" fontId="31" fillId="0" borderId="33" xfId="0" applyNumberFormat="1" applyFont="1" applyBorder="1" applyAlignment="1">
      <alignment horizontal="center"/>
    </xf>
    <xf numFmtId="0" fontId="43" fillId="0" borderId="30" xfId="0" applyFont="1" applyBorder="1"/>
    <xf numFmtId="0" fontId="31" fillId="0" borderId="34" xfId="0" applyFont="1" applyBorder="1" applyAlignment="1">
      <alignment horizontal="center" vertical="center"/>
    </xf>
    <xf numFmtId="0" fontId="31" fillId="0" borderId="24" xfId="0" applyFont="1" applyBorder="1" applyAlignment="1">
      <alignment horizontal="center" vertical="center"/>
    </xf>
    <xf numFmtId="0" fontId="31" fillId="0" borderId="38" xfId="0" applyFont="1" applyBorder="1" applyAlignment="1">
      <alignment horizontal="center" vertical="center"/>
    </xf>
    <xf numFmtId="0" fontId="36" fillId="0" borderId="0" xfId="0" applyFont="1" applyAlignment="1">
      <alignment horizontal="center"/>
    </xf>
    <xf numFmtId="2" fontId="31" fillId="0" borderId="0" xfId="0" applyNumberFormat="1" applyFont="1" applyAlignment="1">
      <alignment horizontal="center"/>
    </xf>
    <xf numFmtId="0" fontId="29" fillId="0" borderId="0" xfId="0" applyFont="1"/>
    <xf numFmtId="0" fontId="41" fillId="0" borderId="0" xfId="0" applyFont="1"/>
    <xf numFmtId="168" fontId="41" fillId="0" borderId="0" xfId="0" applyNumberFormat="1" applyFont="1"/>
    <xf numFmtId="49" fontId="41" fillId="0" borderId="0" xfId="0" applyNumberFormat="1" applyFont="1"/>
    <xf numFmtId="49" fontId="31" fillId="0" borderId="0" xfId="0" applyNumberFormat="1" applyFont="1" applyAlignment="1">
      <alignment horizontal="right"/>
    </xf>
    <xf numFmtId="164" fontId="31" fillId="0" borderId="0" xfId="0" applyNumberFormat="1" applyFont="1" applyAlignment="1">
      <alignment horizontal="right"/>
    </xf>
    <xf numFmtId="2" fontId="31" fillId="0" borderId="0" xfId="0" applyNumberFormat="1" applyFont="1"/>
    <xf numFmtId="167" fontId="31" fillId="0" borderId="0" xfId="0" applyNumberFormat="1" applyFont="1"/>
    <xf numFmtId="168" fontId="31" fillId="0" borderId="0" xfId="0" applyNumberFormat="1" applyFont="1"/>
    <xf numFmtId="49" fontId="31" fillId="0" borderId="0" xfId="0" applyNumberFormat="1" applyFont="1"/>
    <xf numFmtId="0" fontId="42" fillId="0" borderId="0" xfId="0" applyFont="1" applyAlignment="1">
      <alignment horizontal="center"/>
    </xf>
    <xf numFmtId="0" fontId="34" fillId="0" borderId="0" xfId="0" applyFont="1" applyAlignment="1">
      <alignment vertical="center" wrapText="1"/>
    </xf>
    <xf numFmtId="164" fontId="34" fillId="0" borderId="0" xfId="0" applyNumberFormat="1" applyFont="1" applyAlignment="1">
      <alignment vertical="center" wrapText="1"/>
    </xf>
    <xf numFmtId="172" fontId="34" fillId="0" borderId="0" xfId="0" applyNumberFormat="1" applyFont="1"/>
    <xf numFmtId="0" fontId="39" fillId="0" borderId="0" xfId="0" applyFont="1"/>
    <xf numFmtId="0" fontId="31" fillId="0" borderId="34" xfId="0" applyFont="1" applyBorder="1" applyAlignment="1">
      <alignment horizontal="left" vertical="center"/>
    </xf>
    <xf numFmtId="1" fontId="31" fillId="7" borderId="42" xfId="0" applyNumberFormat="1" applyFont="1" applyFill="1" applyBorder="1" applyAlignment="1" applyProtection="1">
      <alignment horizontal="center"/>
      <protection locked="0"/>
    </xf>
    <xf numFmtId="164" fontId="39" fillId="0" borderId="42" xfId="0" applyNumberFormat="1" applyFont="1" applyBorder="1" applyAlignment="1">
      <alignment horizontal="center" vertical="center"/>
    </xf>
    <xf numFmtId="164" fontId="39" fillId="0" borderId="37" xfId="0" applyNumberFormat="1" applyFont="1" applyBorder="1" applyAlignment="1">
      <alignment horizontal="center" vertical="center"/>
    </xf>
    <xf numFmtId="164" fontId="39" fillId="0" borderId="0" xfId="0" applyNumberFormat="1" applyFont="1" applyAlignment="1">
      <alignment horizontal="center" vertical="center"/>
    </xf>
    <xf numFmtId="164" fontId="39" fillId="0" borderId="36" xfId="0" applyNumberFormat="1" applyFont="1" applyBorder="1" applyAlignment="1">
      <alignment horizontal="center" vertical="center"/>
    </xf>
    <xf numFmtId="164" fontId="39" fillId="0" borderId="28" xfId="0" applyNumberFormat="1" applyFont="1" applyBorder="1" applyAlignment="1">
      <alignment horizontal="center" vertical="center"/>
    </xf>
    <xf numFmtId="164" fontId="39" fillId="0" borderId="39" xfId="0" applyNumberFormat="1" applyFont="1" applyBorder="1" applyAlignment="1">
      <alignment horizontal="center" vertical="center"/>
    </xf>
    <xf numFmtId="1" fontId="31" fillId="0" borderId="37" xfId="0" applyNumberFormat="1" applyFont="1" applyBorder="1" applyAlignment="1">
      <alignment horizontal="center"/>
    </xf>
    <xf numFmtId="2" fontId="31" fillId="0" borderId="20" xfId="0" applyNumberFormat="1" applyFont="1" applyBorder="1" applyAlignment="1">
      <alignment horizontal="center"/>
    </xf>
    <xf numFmtId="167" fontId="31" fillId="0" borderId="36" xfId="0" applyNumberFormat="1" applyFont="1" applyBorder="1" applyAlignment="1">
      <alignment horizontal="center"/>
    </xf>
    <xf numFmtId="0" fontId="39" fillId="0" borderId="0" xfId="0" applyFont="1" applyAlignment="1">
      <alignment horizontal="right"/>
    </xf>
    <xf numFmtId="1" fontId="31" fillId="0" borderId="36" xfId="0" applyNumberFormat="1" applyFont="1" applyBorder="1" applyAlignment="1">
      <alignment horizontal="center"/>
    </xf>
    <xf numFmtId="0" fontId="50" fillId="0" borderId="0" xfId="0" applyFont="1"/>
    <xf numFmtId="165" fontId="35" fillId="0" borderId="0" xfId="0" applyNumberFormat="1" applyFont="1" applyAlignment="1">
      <alignment horizontal="left"/>
    </xf>
    <xf numFmtId="165" fontId="35" fillId="0" borderId="0" xfId="0" applyNumberFormat="1" applyFont="1" applyAlignment="1">
      <alignment horizontal="center"/>
    </xf>
    <xf numFmtId="167" fontId="31" fillId="0" borderId="39" xfId="0" applyNumberFormat="1" applyFont="1" applyBorder="1" applyAlignment="1">
      <alignment horizontal="center"/>
    </xf>
    <xf numFmtId="2" fontId="29" fillId="3" borderId="29" xfId="0" applyNumberFormat="1" applyFont="1" applyFill="1" applyBorder="1" applyAlignment="1">
      <alignment horizontal="center"/>
    </xf>
    <xf numFmtId="166" fontId="31" fillId="0" borderId="39" xfId="0" applyNumberFormat="1" applyFont="1" applyBorder="1" applyAlignment="1">
      <alignment horizontal="center"/>
    </xf>
    <xf numFmtId="2" fontId="31" fillId="0" borderId="28" xfId="0" applyNumberFormat="1" applyFont="1" applyBorder="1" applyAlignment="1">
      <alignment horizontal="center"/>
    </xf>
    <xf numFmtId="164" fontId="29" fillId="0" borderId="39" xfId="0" applyNumberFormat="1" applyFont="1" applyBorder="1" applyAlignment="1" applyProtection="1">
      <alignment horizontal="center"/>
      <protection locked="0"/>
    </xf>
    <xf numFmtId="9" fontId="29" fillId="0" borderId="0" xfId="3" applyFont="1" applyFill="1" applyBorder="1" applyAlignment="1" applyProtection="1">
      <alignment horizontal="center" vertical="center"/>
    </xf>
    <xf numFmtId="165" fontId="29" fillId="0" borderId="0" xfId="0" applyNumberFormat="1" applyFont="1"/>
    <xf numFmtId="1" fontId="29" fillId="0" borderId="33" xfId="0" applyNumberFormat="1" applyFont="1" applyBorder="1" applyAlignment="1">
      <alignment horizontal="center" vertical="center"/>
    </xf>
    <xf numFmtId="0" fontId="31" fillId="0" borderId="31" xfId="0" applyFont="1" applyBorder="1" applyAlignment="1">
      <alignment horizontal="center" vertical="center"/>
    </xf>
    <xf numFmtId="167" fontId="39" fillId="0" borderId="33" xfId="0" applyNumberFormat="1" applyFont="1" applyBorder="1" applyAlignment="1">
      <alignment horizontal="center" vertical="center"/>
    </xf>
    <xf numFmtId="1" fontId="39" fillId="0" borderId="33" xfId="0" applyNumberFormat="1" applyFont="1" applyBorder="1" applyAlignment="1">
      <alignment horizontal="center"/>
    </xf>
    <xf numFmtId="49" fontId="31" fillId="0" borderId="24" xfId="0" applyNumberFormat="1" applyFont="1" applyBorder="1" applyAlignment="1">
      <alignment horizontal="left"/>
    </xf>
    <xf numFmtId="49" fontId="31" fillId="0" borderId="36" xfId="0" applyNumberFormat="1" applyFont="1" applyBorder="1" applyAlignment="1">
      <alignment horizontal="center"/>
    </xf>
    <xf numFmtId="164" fontId="31" fillId="0" borderId="36" xfId="0" applyNumberFormat="1" applyFont="1" applyBorder="1" applyAlignment="1">
      <alignment horizontal="center" vertical="center"/>
    </xf>
    <xf numFmtId="0" fontId="31" fillId="0" borderId="20" xfId="0" applyFont="1" applyBorder="1" applyAlignment="1">
      <alignment horizontal="center" vertical="center"/>
    </xf>
    <xf numFmtId="0" fontId="31" fillId="0" borderId="24" xfId="0" applyFont="1" applyBorder="1" applyAlignment="1">
      <alignment horizontal="left"/>
    </xf>
    <xf numFmtId="2" fontId="29" fillId="0" borderId="36" xfId="0" applyNumberFormat="1" applyFont="1" applyBorder="1" applyAlignment="1">
      <alignment horizontal="center" vertical="center"/>
    </xf>
    <xf numFmtId="167" fontId="31" fillId="0" borderId="36" xfId="0" applyNumberFormat="1" applyFont="1" applyBorder="1" applyAlignment="1">
      <alignment horizontal="center" vertical="center"/>
    </xf>
    <xf numFmtId="0" fontId="31" fillId="0" borderId="20" xfId="0" quotePrefix="1" applyFont="1" applyBorder="1" applyAlignment="1">
      <alignment horizontal="center" vertical="center"/>
    </xf>
    <xf numFmtId="2" fontId="31" fillId="0" borderId="36" xfId="0" applyNumberFormat="1" applyFont="1" applyBorder="1" applyAlignment="1">
      <alignment horizontal="center" vertical="center"/>
    </xf>
    <xf numFmtId="1" fontId="31" fillId="0" borderId="36" xfId="0" applyNumberFormat="1" applyFont="1" applyBorder="1" applyAlignment="1">
      <alignment horizontal="center" vertical="center"/>
    </xf>
    <xf numFmtId="165" fontId="31" fillId="0" borderId="36" xfId="0" applyNumberFormat="1" applyFont="1" applyBorder="1" applyAlignment="1">
      <alignment horizontal="center" vertical="center"/>
    </xf>
    <xf numFmtId="0" fontId="31" fillId="0" borderId="38" xfId="0" applyFont="1" applyBorder="1"/>
    <xf numFmtId="2" fontId="31" fillId="0" borderId="39" xfId="0" applyNumberFormat="1" applyFont="1" applyBorder="1" applyAlignment="1">
      <alignment horizontal="center" vertical="center"/>
    </xf>
    <xf numFmtId="165" fontId="31" fillId="0" borderId="39" xfId="0" applyNumberFormat="1" applyFont="1" applyBorder="1" applyAlignment="1">
      <alignment horizontal="center" vertical="center"/>
    </xf>
    <xf numFmtId="0" fontId="31" fillId="0" borderId="29" xfId="0" applyFont="1" applyBorder="1" applyAlignment="1">
      <alignment horizontal="center" vertical="center"/>
    </xf>
    <xf numFmtId="1" fontId="39" fillId="0" borderId="0" xfId="0" applyNumberFormat="1" applyFont="1"/>
    <xf numFmtId="49" fontId="31" fillId="0" borderId="19" xfId="0" applyNumberFormat="1" applyFont="1" applyBorder="1" applyAlignment="1">
      <alignment horizontal="center"/>
    </xf>
    <xf numFmtId="1" fontId="31" fillId="0" borderId="72" xfId="0" applyNumberFormat="1" applyFont="1" applyBorder="1" applyAlignment="1">
      <alignment horizontal="center"/>
    </xf>
    <xf numFmtId="164" fontId="31" fillId="0" borderId="72" xfId="3" applyNumberFormat="1" applyFont="1" applyBorder="1" applyAlignment="1" applyProtection="1">
      <alignment horizontal="center"/>
    </xf>
    <xf numFmtId="49" fontId="31" fillId="0" borderId="14" xfId="0" applyNumberFormat="1" applyFont="1" applyBorder="1" applyAlignment="1">
      <alignment horizontal="center"/>
    </xf>
    <xf numFmtId="2" fontId="31" fillId="0" borderId="49" xfId="0" applyNumberFormat="1" applyFont="1" applyBorder="1" applyAlignment="1">
      <alignment horizontal="center"/>
    </xf>
    <xf numFmtId="164" fontId="31" fillId="0" borderId="49" xfId="3" applyNumberFormat="1" applyFont="1" applyBorder="1" applyAlignment="1" applyProtection="1">
      <alignment horizontal="center"/>
    </xf>
    <xf numFmtId="0" fontId="31" fillId="0" borderId="36" xfId="0" applyFont="1" applyBorder="1" applyAlignment="1">
      <alignment horizontal="center" vertical="center"/>
    </xf>
    <xf numFmtId="0" fontId="31" fillId="0" borderId="29" xfId="0" applyFont="1" applyBorder="1" applyAlignment="1" applyProtection="1">
      <alignment horizontal="center" vertical="center"/>
      <protection hidden="1"/>
    </xf>
    <xf numFmtId="0" fontId="31" fillId="0" borderId="28" xfId="0" applyFont="1" applyBorder="1" applyAlignment="1" applyProtection="1">
      <alignment horizontal="center" vertical="center"/>
      <protection hidden="1"/>
    </xf>
    <xf numFmtId="49" fontId="31" fillId="0" borderId="53" xfId="0" applyNumberFormat="1" applyFont="1" applyBorder="1" applyAlignment="1">
      <alignment horizontal="center"/>
    </xf>
    <xf numFmtId="2" fontId="31" fillId="0" borderId="43" xfId="0" applyNumberFormat="1" applyFont="1" applyBorder="1" applyAlignment="1">
      <alignment horizontal="center"/>
    </xf>
    <xf numFmtId="164" fontId="31" fillId="0" borderId="43" xfId="3" applyNumberFormat="1" applyFont="1" applyBorder="1" applyAlignment="1" applyProtection="1">
      <alignment horizontal="center"/>
    </xf>
    <xf numFmtId="0" fontId="31" fillId="0" borderId="39" xfId="0" applyFont="1" applyBorder="1" applyAlignment="1">
      <alignment horizontal="center" vertical="center"/>
    </xf>
    <xf numFmtId="167" fontId="31" fillId="0" borderId="28" xfId="0" applyNumberFormat="1" applyFont="1" applyBorder="1" applyAlignment="1">
      <alignment horizontal="center" vertical="center"/>
    </xf>
    <xf numFmtId="2" fontId="31" fillId="0" borderId="29" xfId="0" applyNumberFormat="1" applyFont="1" applyBorder="1" applyAlignment="1">
      <alignment horizontal="center"/>
    </xf>
    <xf numFmtId="0" fontId="39" fillId="0" borderId="33" xfId="0" applyFont="1" applyBorder="1" applyAlignment="1">
      <alignment horizontal="center" vertical="center"/>
    </xf>
    <xf numFmtId="164" fontId="39" fillId="0" borderId="33" xfId="0" applyNumberFormat="1" applyFont="1" applyBorder="1" applyAlignment="1">
      <alignment horizontal="center" vertical="center"/>
    </xf>
    <xf numFmtId="0" fontId="18" fillId="0" borderId="0" xfId="0" applyFont="1"/>
    <xf numFmtId="0" fontId="21" fillId="0" borderId="0" xfId="0" applyFont="1" applyAlignment="1">
      <alignment horizontal="centerContinuous"/>
    </xf>
    <xf numFmtId="169" fontId="18" fillId="0" borderId="0" xfId="0" applyNumberFormat="1" applyFont="1"/>
    <xf numFmtId="0" fontId="52" fillId="0" borderId="0" xfId="0" applyFont="1" applyAlignment="1">
      <alignment horizontal="centerContinuous"/>
    </xf>
    <xf numFmtId="0" fontId="21" fillId="0" borderId="34" xfId="0" applyFont="1" applyBorder="1"/>
    <xf numFmtId="0" fontId="18" fillId="0" borderId="42" xfId="0" applyFont="1" applyBorder="1"/>
    <xf numFmtId="165" fontId="18" fillId="0" borderId="35" xfId="0" applyNumberFormat="1" applyFont="1" applyBorder="1"/>
    <xf numFmtId="0" fontId="21" fillId="0" borderId="0" xfId="0" applyFont="1"/>
    <xf numFmtId="0" fontId="18" fillId="0" borderId="24" xfId="0" applyFont="1" applyBorder="1"/>
    <xf numFmtId="165" fontId="18" fillId="0" borderId="20" xfId="0" applyNumberFormat="1" applyFont="1" applyBorder="1"/>
    <xf numFmtId="0" fontId="55" fillId="0" borderId="0" xfId="0" applyFont="1"/>
    <xf numFmtId="0" fontId="57" fillId="0" borderId="0" xfId="0" applyFont="1"/>
    <xf numFmtId="0" fontId="21" fillId="0" borderId="38" xfId="0" applyFont="1" applyBorder="1"/>
    <xf numFmtId="165" fontId="18" fillId="0" borderId="28" xfId="0" applyNumberFormat="1" applyFont="1" applyBorder="1"/>
    <xf numFmtId="0" fontId="18" fillId="0" borderId="28" xfId="0" applyFont="1" applyBorder="1"/>
    <xf numFmtId="165" fontId="18" fillId="0" borderId="29" xfId="0" applyNumberFormat="1" applyFont="1" applyBorder="1"/>
    <xf numFmtId="0" fontId="18" fillId="0" borderId="0" xfId="0" applyFont="1" applyAlignment="1">
      <alignment horizontal="center"/>
    </xf>
    <xf numFmtId="164" fontId="58" fillId="0" borderId="0" xfId="0" applyNumberFormat="1" applyFont="1" applyAlignment="1">
      <alignment horizontal="center"/>
    </xf>
    <xf numFmtId="2" fontId="18" fillId="0" borderId="0" xfId="0" applyNumberFormat="1" applyFont="1" applyAlignment="1" applyProtection="1">
      <alignment horizontal="center"/>
      <protection hidden="1"/>
    </xf>
    <xf numFmtId="2" fontId="18" fillId="0" borderId="0" xfId="0" applyNumberFormat="1" applyFont="1" applyAlignment="1">
      <alignment horizontal="center"/>
    </xf>
    <xf numFmtId="49" fontId="18" fillId="0" borderId="0" xfId="0" applyNumberFormat="1" applyFont="1"/>
    <xf numFmtId="167" fontId="18" fillId="0" borderId="0" xfId="0" applyNumberFormat="1" applyFont="1"/>
    <xf numFmtId="0" fontId="18" fillId="3" borderId="24" xfId="0" applyFont="1" applyFill="1" applyBorder="1"/>
    <xf numFmtId="0" fontId="18" fillId="0" borderId="10" xfId="0" applyFont="1" applyBorder="1" applyAlignment="1">
      <alignment horizontal="center" vertical="center"/>
    </xf>
    <xf numFmtId="0" fontId="18" fillId="0" borderId="40" xfId="0" applyFont="1" applyBorder="1" applyAlignment="1">
      <alignment horizontal="center"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8" fillId="0" borderId="38" xfId="0" applyFont="1" applyBorder="1" applyAlignment="1">
      <alignment horizontal="center" vertical="center"/>
    </xf>
    <xf numFmtId="164" fontId="18" fillId="0" borderId="39" xfId="0" applyNumberFormat="1" applyFont="1" applyBorder="1" applyAlignment="1">
      <alignment horizontal="center" vertical="center" wrapText="1"/>
    </xf>
    <xf numFmtId="164" fontId="18" fillId="0" borderId="28" xfId="0" applyNumberFormat="1" applyFont="1" applyBorder="1" applyAlignment="1">
      <alignment horizontal="center" vertical="center" wrapText="1"/>
    </xf>
    <xf numFmtId="164" fontId="18" fillId="0" borderId="72" xfId="3" applyNumberFormat="1" applyFont="1" applyBorder="1" applyAlignment="1" applyProtection="1">
      <alignment horizontal="center" vertical="center"/>
    </xf>
    <xf numFmtId="164" fontId="18" fillId="0" borderId="7" xfId="3" applyNumberFormat="1" applyFont="1" applyBorder="1" applyAlignment="1" applyProtection="1">
      <alignment horizontal="center" vertical="center"/>
    </xf>
    <xf numFmtId="164" fontId="18" fillId="0" borderId="19" xfId="0" applyNumberFormat="1" applyFont="1" applyBorder="1" applyAlignment="1">
      <alignment horizontal="center" vertical="center"/>
    </xf>
    <xf numFmtId="164" fontId="18" fillId="0" borderId="40" xfId="0" applyNumberFormat="1" applyFont="1" applyBorder="1" applyAlignment="1">
      <alignment horizontal="center" vertical="center"/>
    </xf>
    <xf numFmtId="164" fontId="18" fillId="0" borderId="49" xfId="3" applyNumberFormat="1" applyFont="1" applyBorder="1" applyAlignment="1" applyProtection="1">
      <alignment horizontal="center" vertical="center"/>
    </xf>
    <xf numFmtId="164" fontId="18" fillId="0" borderId="9" xfId="3" applyNumberFormat="1" applyFont="1" applyBorder="1" applyAlignment="1" applyProtection="1">
      <alignment horizontal="center" vertical="center"/>
    </xf>
    <xf numFmtId="164" fontId="18" fillId="0" borderId="14" xfId="0" applyNumberFormat="1" applyFont="1" applyBorder="1" applyAlignment="1">
      <alignment horizontal="center" vertical="center"/>
    </xf>
    <xf numFmtId="164" fontId="18" fillId="0" borderId="49" xfId="0" applyNumberFormat="1" applyFont="1" applyBorder="1" applyAlignment="1">
      <alignment horizontal="center" vertical="center"/>
    </xf>
    <xf numFmtId="164" fontId="18" fillId="0" borderId="43" xfId="3" applyNumberFormat="1" applyFont="1" applyBorder="1" applyAlignment="1" applyProtection="1">
      <alignment horizontal="center" vertical="center"/>
    </xf>
    <xf numFmtId="164" fontId="18" fillId="0" borderId="44" xfId="3" applyNumberFormat="1" applyFont="1" applyBorder="1" applyAlignment="1" applyProtection="1">
      <alignment horizontal="center" vertical="center"/>
    </xf>
    <xf numFmtId="164" fontId="18" fillId="0" borderId="53" xfId="0" applyNumberFormat="1" applyFont="1" applyBorder="1" applyAlignment="1">
      <alignment horizontal="center" vertical="center"/>
    </xf>
    <xf numFmtId="164" fontId="18" fillId="0" borderId="43" xfId="0" applyNumberFormat="1" applyFont="1" applyBorder="1" applyAlignment="1">
      <alignment horizontal="center" vertical="center"/>
    </xf>
    <xf numFmtId="168" fontId="0" fillId="0" borderId="0" xfId="0" applyNumberFormat="1"/>
    <xf numFmtId="49" fontId="0" fillId="0" borderId="0" xfId="0" applyNumberFormat="1"/>
    <xf numFmtId="49" fontId="18" fillId="0" borderId="0" xfId="0" applyNumberFormat="1" applyFont="1" applyAlignment="1">
      <alignment horizontal="right"/>
    </xf>
    <xf numFmtId="164" fontId="18" fillId="0" borderId="0" xfId="0" applyNumberFormat="1" applyFont="1" applyAlignment="1">
      <alignment horizontal="right"/>
    </xf>
    <xf numFmtId="2" fontId="18" fillId="0" borderId="0" xfId="0" applyNumberFormat="1" applyFont="1"/>
    <xf numFmtId="168" fontId="18" fillId="0" borderId="0" xfId="0" applyNumberFormat="1" applyFont="1"/>
    <xf numFmtId="0" fontId="59" fillId="0" borderId="0" xfId="0" applyFont="1" applyAlignment="1">
      <alignment horizontal="center"/>
    </xf>
    <xf numFmtId="167" fontId="18" fillId="0" borderId="0" xfId="0" applyNumberFormat="1" applyFont="1" applyAlignment="1">
      <alignment horizontal="center"/>
    </xf>
    <xf numFmtId="0" fontId="18" fillId="0" borderId="0" xfId="0" applyFont="1" applyProtection="1">
      <protection hidden="1"/>
    </xf>
    <xf numFmtId="0" fontId="18" fillId="0" borderId="0" xfId="2" applyFont="1"/>
    <xf numFmtId="0" fontId="18" fillId="0" borderId="0" xfId="2" applyFont="1" applyAlignment="1">
      <alignment horizontal="right"/>
    </xf>
    <xf numFmtId="0" fontId="18" fillId="0" borderId="10" xfId="2" applyFont="1" applyBorder="1"/>
    <xf numFmtId="0" fontId="18" fillId="0" borderId="11" xfId="2" applyFont="1" applyBorder="1"/>
    <xf numFmtId="0" fontId="18" fillId="0" borderId="47" xfId="2" applyFont="1" applyBorder="1"/>
    <xf numFmtId="0" fontId="18" fillId="0" borderId="14" xfId="2" applyFont="1" applyBorder="1"/>
    <xf numFmtId="0" fontId="18" fillId="0" borderId="9" xfId="2" applyFont="1" applyBorder="1"/>
    <xf numFmtId="0" fontId="18" fillId="0" borderId="50" xfId="2" applyFont="1" applyBorder="1"/>
    <xf numFmtId="0" fontId="18" fillId="0" borderId="38" xfId="2" applyFont="1" applyBorder="1" applyAlignment="1">
      <alignment horizontal="center" vertical="center"/>
    </xf>
    <xf numFmtId="0" fontId="18" fillId="0" borderId="28" xfId="2" applyFont="1" applyBorder="1" applyAlignment="1">
      <alignment vertical="center"/>
    </xf>
    <xf numFmtId="0" fontId="18" fillId="0" borderId="9" xfId="2" applyFont="1" applyBorder="1" applyAlignment="1">
      <alignment horizontal="center"/>
    </xf>
    <xf numFmtId="0" fontId="18" fillId="0" borderId="50" xfId="2" applyFont="1" applyBorder="1" applyAlignment="1">
      <alignment horizontal="center"/>
    </xf>
    <xf numFmtId="0" fontId="18" fillId="0" borderId="50" xfId="2" applyFont="1" applyBorder="1" applyAlignment="1">
      <alignment horizontal="right"/>
    </xf>
    <xf numFmtId="0" fontId="18" fillId="0" borderId="38" xfId="2" applyFont="1" applyBorder="1"/>
    <xf numFmtId="0" fontId="18" fillId="0" borderId="28" xfId="2" applyFont="1" applyBorder="1"/>
    <xf numFmtId="0" fontId="18" fillId="0" borderId="66" xfId="2" applyFont="1" applyBorder="1"/>
    <xf numFmtId="0" fontId="18" fillId="0" borderId="41" xfId="2" applyFont="1" applyBorder="1" applyAlignment="1">
      <alignment horizontal="center"/>
    </xf>
    <xf numFmtId="0" fontId="18" fillId="0" borderId="29" xfId="2" applyFont="1" applyBorder="1" applyAlignment="1">
      <alignment horizontal="center"/>
    </xf>
    <xf numFmtId="0" fontId="18" fillId="0" borderId="9" xfId="2" applyFont="1" applyBorder="1" applyAlignment="1">
      <alignment horizontal="center" vertical="center"/>
    </xf>
    <xf numFmtId="0" fontId="18" fillId="0" borderId="2" xfId="2" applyFont="1" applyBorder="1" applyAlignment="1">
      <alignment horizontal="center" vertical="center"/>
    </xf>
    <xf numFmtId="0" fontId="18" fillId="0" borderId="2" xfId="2" applyFont="1" applyBorder="1" applyAlignment="1">
      <alignment vertical="center"/>
    </xf>
    <xf numFmtId="0" fontId="18" fillId="0" borderId="15" xfId="2" applyFont="1" applyBorder="1" applyAlignment="1">
      <alignment horizontal="center"/>
    </xf>
    <xf numFmtId="168" fontId="18" fillId="0" borderId="51" xfId="2" applyNumberFormat="1" applyFont="1" applyBorder="1" applyAlignment="1">
      <alignment horizontal="center" vertical="center"/>
    </xf>
    <xf numFmtId="0" fontId="18" fillId="0" borderId="34" xfId="2" applyFont="1" applyBorder="1" applyAlignment="1">
      <alignment vertical="center"/>
    </xf>
    <xf numFmtId="0" fontId="18" fillId="0" borderId="42" xfId="2" applyFont="1" applyBorder="1"/>
    <xf numFmtId="0" fontId="18" fillId="0" borderId="35" xfId="2" applyFont="1" applyBorder="1"/>
    <xf numFmtId="0" fontId="18" fillId="0" borderId="20" xfId="2" applyFont="1" applyBorder="1"/>
    <xf numFmtId="0" fontId="18" fillId="0" borderId="29" xfId="2" applyFont="1" applyBorder="1"/>
    <xf numFmtId="168" fontId="18" fillId="0" borderId="0" xfId="2" applyNumberFormat="1" applyFont="1" applyAlignment="1">
      <alignment horizontal="center" vertical="center"/>
    </xf>
    <xf numFmtId="0" fontId="18" fillId="0" borderId="0" xfId="2" applyFont="1" applyAlignment="1">
      <alignment horizontal="center"/>
    </xf>
    <xf numFmtId="0" fontId="21" fillId="0" borderId="0" xfId="2" applyFont="1" applyAlignment="1">
      <alignment horizontal="right"/>
    </xf>
    <xf numFmtId="0" fontId="18" fillId="0" borderId="0" xfId="2" applyFont="1" applyAlignment="1">
      <alignment horizontal="left"/>
    </xf>
    <xf numFmtId="0" fontId="18" fillId="0" borderId="24" xfId="2" applyFont="1" applyBorder="1"/>
    <xf numFmtId="0" fontId="18" fillId="0" borderId="0" xfId="2" applyFont="1" applyAlignment="1">
      <alignment horizontal="right" vertical="center"/>
    </xf>
    <xf numFmtId="0" fontId="18" fillId="0" borderId="20" xfId="2" applyFont="1" applyBorder="1" applyAlignment="1">
      <alignment vertical="center"/>
    </xf>
    <xf numFmtId="0" fontId="18" fillId="0" borderId="29" xfId="2" applyFont="1" applyBorder="1" applyAlignment="1">
      <alignment vertical="center"/>
    </xf>
    <xf numFmtId="0" fontId="18" fillId="0" borderId="0" xfId="2" quotePrefix="1" applyFont="1" applyAlignment="1">
      <alignment horizontal="center" vertical="center"/>
    </xf>
    <xf numFmtId="0" fontId="18" fillId="0" borderId="0" xfId="2" quotePrefix="1" applyFont="1" applyAlignment="1">
      <alignment horizontal="center"/>
    </xf>
    <xf numFmtId="168" fontId="18" fillId="0" borderId="0" xfId="2" applyNumberFormat="1" applyFont="1" applyAlignment="1">
      <alignment vertical="center"/>
    </xf>
    <xf numFmtId="14" fontId="23" fillId="0" borderId="0" xfId="0" applyNumberFormat="1" applyFont="1" applyAlignment="1">
      <alignment horizontal="left"/>
    </xf>
    <xf numFmtId="0" fontId="21" fillId="0" borderId="0" xfId="0" applyFont="1" applyAlignment="1">
      <alignment horizontal="left"/>
    </xf>
    <xf numFmtId="0" fontId="25" fillId="0" borderId="28" xfId="0" applyFont="1" applyBorder="1" applyAlignment="1">
      <alignment horizontal="center" vertical="center"/>
    </xf>
    <xf numFmtId="2" fontId="22" fillId="0" borderId="39" xfId="0" applyNumberFormat="1" applyFont="1" applyBorder="1" applyAlignment="1">
      <alignment horizontal="center" vertical="center"/>
    </xf>
    <xf numFmtId="0" fontId="22" fillId="0" borderId="0" xfId="0" applyFont="1" applyAlignment="1">
      <alignment horizontal="left" vertical="center"/>
    </xf>
    <xf numFmtId="0" fontId="0" fillId="0" borderId="33" xfId="0" applyBorder="1" applyAlignment="1">
      <alignment horizontal="center"/>
    </xf>
    <xf numFmtId="14" fontId="21" fillId="7" borderId="68" xfId="0" applyNumberFormat="1" applyFont="1" applyFill="1" applyBorder="1" applyAlignment="1" applyProtection="1">
      <alignment horizontal="center" vertical="center"/>
      <protection locked="0"/>
    </xf>
    <xf numFmtId="0" fontId="29" fillId="7" borderId="33" xfId="0" applyFont="1" applyFill="1" applyBorder="1" applyAlignment="1" applyProtection="1">
      <alignment horizontal="center" vertical="center"/>
      <protection locked="0"/>
    </xf>
    <xf numFmtId="172" fontId="30" fillId="0" borderId="15" xfId="0" applyNumberFormat="1" applyFont="1" applyBorder="1" applyAlignment="1">
      <alignment horizontal="left"/>
    </xf>
    <xf numFmtId="0" fontId="0" fillId="0" borderId="0" xfId="0" applyAlignment="1">
      <alignment horizontal="left" vertical="center"/>
    </xf>
    <xf numFmtId="0" fontId="9" fillId="0" borderId="24" xfId="0" applyFont="1" applyBorder="1" applyAlignment="1">
      <alignment horizontal="left" vertical="center"/>
    </xf>
    <xf numFmtId="0" fontId="9" fillId="0" borderId="14" xfId="0" applyFont="1" applyBorder="1" applyAlignment="1">
      <alignment horizontal="left" vertical="center"/>
    </xf>
    <xf numFmtId="0" fontId="9" fillId="0" borderId="65" xfId="0" applyFont="1" applyBorder="1" applyAlignment="1">
      <alignment horizontal="left" vertical="center"/>
    </xf>
    <xf numFmtId="0" fontId="9" fillId="0" borderId="53" xfId="0" applyFont="1" applyBorder="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10" fillId="0" borderId="0" xfId="0" applyFont="1" applyAlignment="1">
      <alignment vertical="center"/>
    </xf>
    <xf numFmtId="164" fontId="8" fillId="0" borderId="30" xfId="0" applyNumberFormat="1" applyFont="1" applyBorder="1" applyAlignment="1">
      <alignment vertical="center"/>
    </xf>
    <xf numFmtId="0" fontId="7" fillId="0" borderId="0" xfId="0" applyFont="1"/>
    <xf numFmtId="0" fontId="7"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wrapText="1"/>
    </xf>
    <xf numFmtId="0" fontId="9" fillId="0" borderId="0" xfId="0" applyFont="1" applyAlignment="1">
      <alignment vertical="center"/>
    </xf>
    <xf numFmtId="0" fontId="8"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wrapText="1"/>
    </xf>
    <xf numFmtId="0" fontId="41" fillId="0" borderId="0" xfId="0" applyFont="1" applyAlignment="1">
      <alignment horizontal="center" vertical="center"/>
    </xf>
    <xf numFmtId="0" fontId="0" fillId="0" borderId="0" xfId="0" applyAlignment="1">
      <alignment horizontal="left" vertical="center" wrapText="1"/>
    </xf>
    <xf numFmtId="0" fontId="9" fillId="0" borderId="0" xfId="0" quotePrefix="1" applyFont="1" applyAlignment="1">
      <alignment horizontal="left" vertical="center" wrapText="1" readingOrder="1"/>
    </xf>
    <xf numFmtId="0" fontId="9" fillId="0" borderId="0" xfId="0" quotePrefix="1" applyFont="1" applyAlignment="1">
      <alignment horizontal="left" vertical="center" wrapText="1"/>
    </xf>
    <xf numFmtId="0" fontId="29" fillId="0" borderId="52" xfId="0" applyFont="1" applyBorder="1" applyProtection="1">
      <protection hidden="1"/>
    </xf>
    <xf numFmtId="172" fontId="21" fillId="0" borderId="9" xfId="0" applyNumberFormat="1" applyFont="1" applyBorder="1"/>
    <xf numFmtId="0" fontId="2" fillId="0" borderId="37" xfId="0" applyFont="1" applyBorder="1" applyAlignment="1">
      <alignment horizontal="center" vertical="center"/>
    </xf>
    <xf numFmtId="49" fontId="2" fillId="0" borderId="34" xfId="0" applyNumberFormat="1" applyFont="1" applyBorder="1" applyAlignment="1">
      <alignment horizontal="center" vertical="center"/>
    </xf>
    <xf numFmtId="168" fontId="2" fillId="0" borderId="36"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38" xfId="0" applyNumberFormat="1" applyFont="1" applyBorder="1" applyAlignment="1">
      <alignment horizontal="center" vertical="center"/>
    </xf>
    <xf numFmtId="168" fontId="2" fillId="0" borderId="39" xfId="0" applyNumberFormat="1" applyFont="1" applyBorder="1" applyAlignment="1">
      <alignment horizontal="center" vertical="center"/>
    </xf>
    <xf numFmtId="172" fontId="30" fillId="0" borderId="0" xfId="0" applyNumberFormat="1" applyFont="1" applyAlignment="1">
      <alignment horizontal="left"/>
    </xf>
    <xf numFmtId="0" fontId="32" fillId="0" borderId="0" xfId="0" applyFont="1" applyAlignment="1">
      <alignment vertical="center"/>
    </xf>
    <xf numFmtId="0" fontId="31" fillId="0" borderId="24" xfId="0" applyFont="1" applyBorder="1" applyAlignment="1">
      <alignment vertical="center"/>
    </xf>
    <xf numFmtId="1" fontId="31" fillId="7" borderId="33" xfId="0" applyNumberFormat="1" applyFont="1" applyFill="1" applyBorder="1" applyAlignment="1" applyProtection="1">
      <alignment horizontal="center"/>
      <protection locked="0"/>
    </xf>
    <xf numFmtId="0" fontId="2" fillId="0" borderId="0" xfId="0" applyFont="1" applyAlignment="1">
      <alignment vertical="center"/>
    </xf>
    <xf numFmtId="164" fontId="2" fillId="0" borderId="0" xfId="0" applyNumberFormat="1" applyFont="1" applyAlignment="1">
      <alignment vertical="center"/>
    </xf>
    <xf numFmtId="9" fontId="2" fillId="0" borderId="0" xfId="3" applyFont="1" applyBorder="1" applyAlignment="1" applyProtection="1">
      <alignment vertical="center"/>
    </xf>
    <xf numFmtId="168" fontId="2" fillId="0" borderId="0" xfId="0" applyNumberFormat="1" applyFont="1" applyAlignment="1">
      <alignment vertical="center"/>
    </xf>
    <xf numFmtId="168" fontId="2" fillId="0" borderId="36" xfId="0" applyNumberFormat="1" applyFont="1" applyBorder="1" applyAlignment="1">
      <alignment vertical="center"/>
    </xf>
    <xf numFmtId="168" fontId="2" fillId="0" borderId="39" xfId="0" applyNumberFormat="1" applyFont="1" applyBorder="1" applyAlignment="1">
      <alignment vertical="center"/>
    </xf>
    <xf numFmtId="164" fontId="2" fillId="0" borderId="36" xfId="0" applyNumberFormat="1" applyFont="1" applyBorder="1" applyAlignment="1">
      <alignment vertical="center"/>
    </xf>
    <xf numFmtId="164" fontId="2" fillId="0" borderId="39" xfId="0" applyNumberFormat="1" applyFont="1" applyBorder="1" applyAlignment="1">
      <alignment vertical="center"/>
    </xf>
    <xf numFmtId="0" fontId="2" fillId="0" borderId="33" xfId="0" applyFont="1" applyBorder="1" applyAlignment="1">
      <alignment vertical="center"/>
    </xf>
    <xf numFmtId="0" fontId="31" fillId="0" borderId="39" xfId="0" applyFont="1" applyBorder="1" applyAlignment="1" applyProtection="1">
      <alignment horizontal="center" vertical="center"/>
      <protection hidden="1"/>
    </xf>
    <xf numFmtId="49" fontId="29" fillId="7" borderId="33" xfId="3" applyNumberFormat="1" applyFont="1" applyFill="1" applyBorder="1" applyAlignment="1" applyProtection="1">
      <alignment horizontal="center" vertical="center"/>
      <protection locked="0"/>
    </xf>
    <xf numFmtId="49" fontId="29" fillId="7" borderId="31" xfId="3" applyNumberFormat="1" applyFont="1" applyFill="1" applyBorder="1" applyAlignment="1" applyProtection="1">
      <alignment horizontal="center" vertical="center"/>
      <protection locked="0"/>
    </xf>
    <xf numFmtId="0" fontId="29" fillId="7" borderId="53" xfId="0" applyFont="1" applyFill="1" applyBorder="1" applyAlignment="1" applyProtection="1">
      <alignment horizontal="center" vertical="center"/>
      <protection locked="0"/>
    </xf>
    <xf numFmtId="0" fontId="29" fillId="7" borderId="43" xfId="0" applyFont="1" applyFill="1" applyBorder="1" applyAlignment="1" applyProtection="1">
      <alignment horizontal="center" vertical="center"/>
      <protection locked="0"/>
    </xf>
    <xf numFmtId="0" fontId="29" fillId="7" borderId="44" xfId="0" applyFont="1" applyFill="1" applyBorder="1" applyAlignment="1" applyProtection="1">
      <alignment horizontal="center" vertical="center"/>
      <protection locked="0"/>
    </xf>
    <xf numFmtId="1" fontId="29" fillId="7" borderId="63" xfId="0" applyNumberFormat="1" applyFont="1" applyFill="1" applyBorder="1" applyAlignment="1" applyProtection="1">
      <alignment horizontal="center" vertical="center"/>
      <protection locked="0"/>
    </xf>
    <xf numFmtId="164" fontId="2" fillId="0" borderId="0" xfId="0" applyNumberFormat="1" applyFont="1" applyAlignment="1">
      <alignment horizontal="right" vertical="center"/>
    </xf>
    <xf numFmtId="2" fontId="2" fillId="0" borderId="0" xfId="3" applyNumberFormat="1" applyFont="1" applyBorder="1" applyAlignment="1" applyProtection="1">
      <alignment vertical="center"/>
    </xf>
    <xf numFmtId="164" fontId="31" fillId="7" borderId="42" xfId="0" applyNumberFormat="1" applyFont="1" applyFill="1" applyBorder="1" applyAlignment="1" applyProtection="1">
      <alignment horizontal="center"/>
      <protection locked="0"/>
    </xf>
    <xf numFmtId="0" fontId="39" fillId="3" borderId="36" xfId="0" applyFont="1" applyFill="1" applyBorder="1"/>
    <xf numFmtId="0" fontId="39" fillId="3" borderId="39" xfId="0" applyFont="1" applyFill="1" applyBorder="1"/>
    <xf numFmtId="2" fontId="31" fillId="3" borderId="28" xfId="0" applyNumberFormat="1" applyFont="1" applyFill="1" applyBorder="1" applyAlignment="1">
      <alignment horizontal="center"/>
    </xf>
    <xf numFmtId="2" fontId="29" fillId="3" borderId="28" xfId="0" applyNumberFormat="1" applyFont="1" applyFill="1" applyBorder="1" applyAlignment="1">
      <alignment horizontal="center"/>
    </xf>
    <xf numFmtId="168" fontId="31" fillId="0" borderId="0" xfId="0" applyNumberFormat="1" applyFont="1" applyAlignment="1">
      <alignment horizontal="center"/>
    </xf>
    <xf numFmtId="0" fontId="31" fillId="0" borderId="33" xfId="0" applyFont="1" applyBorder="1" applyAlignment="1">
      <alignment horizontal="right" vertical="center"/>
    </xf>
    <xf numFmtId="2" fontId="39" fillId="0" borderId="33" xfId="0" applyNumberFormat="1" applyFont="1" applyBorder="1" applyAlignment="1">
      <alignment horizontal="center" vertical="center"/>
    </xf>
    <xf numFmtId="164" fontId="31" fillId="7" borderId="28" xfId="0" applyNumberFormat="1" applyFont="1" applyFill="1" applyBorder="1" applyAlignment="1" applyProtection="1">
      <alignment horizontal="center"/>
      <protection locked="0"/>
    </xf>
    <xf numFmtId="1" fontId="39" fillId="0" borderId="33" xfId="0" applyNumberFormat="1" applyFont="1" applyBorder="1" applyAlignment="1">
      <alignment horizontal="center" vertical="center"/>
    </xf>
    <xf numFmtId="0" fontId="34" fillId="0" borderId="0" xfId="0" applyFont="1" applyAlignment="1">
      <alignment horizontal="center" vertical="center"/>
    </xf>
    <xf numFmtId="0" fontId="54" fillId="0" borderId="7" xfId="0" applyFont="1" applyBorder="1" applyAlignment="1">
      <alignment horizontal="center" vertical="center"/>
    </xf>
    <xf numFmtId="167" fontId="31" fillId="3" borderId="39" xfId="0" applyNumberFormat="1" applyFont="1" applyFill="1" applyBorder="1" applyAlignment="1">
      <alignment horizontal="center"/>
    </xf>
    <xf numFmtId="0" fontId="29" fillId="7" borderId="72" xfId="0" applyFont="1" applyFill="1" applyBorder="1" applyAlignment="1" applyProtection="1">
      <alignment horizontal="center"/>
      <protection locked="0"/>
    </xf>
    <xf numFmtId="0" fontId="29" fillId="7" borderId="49" xfId="0" applyFont="1" applyFill="1" applyBorder="1" applyAlignment="1" applyProtection="1">
      <alignment horizontal="center"/>
      <protection locked="0"/>
    </xf>
    <xf numFmtId="0" fontId="29" fillId="7" borderId="49" xfId="0" applyFont="1" applyFill="1" applyBorder="1" applyAlignment="1" applyProtection="1">
      <alignment horizontal="center" vertical="center" wrapText="1"/>
      <protection locked="0"/>
    </xf>
    <xf numFmtId="0" fontId="29" fillId="7" borderId="43" xfId="0" applyFont="1" applyFill="1" applyBorder="1" applyAlignment="1" applyProtection="1">
      <alignment horizontal="center" vertical="center" wrapText="1"/>
      <protection locked="0"/>
    </xf>
    <xf numFmtId="1" fontId="31" fillId="7" borderId="0" xfId="0" applyNumberFormat="1" applyFont="1" applyFill="1" applyAlignment="1" applyProtection="1">
      <alignment horizontal="center"/>
      <protection locked="0"/>
    </xf>
    <xf numFmtId="164" fontId="31" fillId="7" borderId="0" xfId="0" applyNumberFormat="1" applyFont="1" applyFill="1" applyAlignment="1" applyProtection="1">
      <alignment horizontal="center"/>
      <protection locked="0"/>
    </xf>
    <xf numFmtId="0" fontId="39" fillId="0" borderId="39" xfId="0" applyFont="1" applyBorder="1" applyAlignment="1">
      <alignment horizontal="center" vertical="center"/>
    </xf>
    <xf numFmtId="1" fontId="31" fillId="0" borderId="24" xfId="0" applyNumberFormat="1" applyFont="1" applyBorder="1" applyAlignment="1">
      <alignment horizontal="center" vertical="center"/>
    </xf>
    <xf numFmtId="1" fontId="31" fillId="0" borderId="34" xfId="0" applyNumberFormat="1" applyFont="1" applyBorder="1" applyAlignment="1">
      <alignment horizontal="center" vertical="center"/>
    </xf>
    <xf numFmtId="0" fontId="0" fillId="0" borderId="51" xfId="0" applyBorder="1" applyAlignment="1">
      <alignment horizontal="center" vertical="center"/>
    </xf>
    <xf numFmtId="0" fontId="10" fillId="0" borderId="0" xfId="0" applyFont="1" applyAlignment="1">
      <alignment vertical="center" wrapText="1"/>
    </xf>
    <xf numFmtId="168" fontId="31" fillId="0" borderId="37" xfId="0" applyNumberFormat="1" applyFont="1" applyBorder="1" applyAlignment="1">
      <alignment horizontal="center"/>
    </xf>
    <xf numFmtId="168" fontId="31" fillId="0" borderId="36" xfId="0" applyNumberFormat="1" applyFont="1" applyBorder="1" applyAlignment="1">
      <alignment horizontal="center"/>
    </xf>
    <xf numFmtId="2" fontId="0" fillId="0" borderId="12" xfId="0" applyNumberFormat="1" applyBorder="1" applyAlignment="1">
      <alignment horizontal="center" vertical="center"/>
    </xf>
    <xf numFmtId="2" fontId="0" fillId="0" borderId="55" xfId="0" applyNumberForma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174" fontId="0" fillId="0" borderId="22" xfId="0" applyNumberFormat="1" applyBorder="1" applyAlignment="1">
      <alignment horizontal="center" vertical="center"/>
    </xf>
    <xf numFmtId="0" fontId="0" fillId="0" borderId="64" xfId="0" applyBorder="1" applyAlignment="1">
      <alignment horizontal="center" vertical="center"/>
    </xf>
    <xf numFmtId="0" fontId="0" fillId="3" borderId="12" xfId="0" applyFill="1" applyBorder="1" applyAlignment="1">
      <alignment horizontal="center" vertical="center"/>
    </xf>
    <xf numFmtId="0" fontId="0" fillId="3" borderId="51" xfId="0" applyFill="1" applyBorder="1" applyAlignment="1">
      <alignment horizontal="center" vertical="center"/>
    </xf>
    <xf numFmtId="0" fontId="0" fillId="3" borderId="55" xfId="0" applyFill="1" applyBorder="1" applyAlignment="1">
      <alignment horizontal="center" vertical="center"/>
    </xf>
    <xf numFmtId="164" fontId="0" fillId="0" borderId="55" xfId="0" applyNumberFormat="1" applyBorder="1" applyAlignment="1">
      <alignment horizontal="center" vertical="center"/>
    </xf>
    <xf numFmtId="0" fontId="0" fillId="0" borderId="19" xfId="0" applyBorder="1" applyAlignment="1">
      <alignment horizontal="center" vertical="center"/>
    </xf>
    <xf numFmtId="0" fontId="0" fillId="0" borderId="49" xfId="0" applyBorder="1" applyAlignment="1">
      <alignment horizontal="center" vertical="center"/>
    </xf>
    <xf numFmtId="0" fontId="0" fillId="0" borderId="43"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164" fontId="0" fillId="0" borderId="9" xfId="0" applyNumberForma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164" fontId="0" fillId="0" borderId="43" xfId="0" applyNumberFormat="1" applyBorder="1" applyAlignment="1">
      <alignment horizontal="center" vertical="center"/>
    </xf>
    <xf numFmtId="164" fontId="0" fillId="0" borderId="49" xfId="0" applyNumberFormat="1" applyBorder="1" applyAlignment="1">
      <alignment horizontal="center" vertical="center"/>
    </xf>
    <xf numFmtId="164" fontId="0" fillId="0" borderId="44" xfId="0" applyNumberFormat="1" applyBorder="1" applyAlignment="1">
      <alignment horizontal="center" vertical="center"/>
    </xf>
    <xf numFmtId="0" fontId="0" fillId="0" borderId="39" xfId="0" applyBorder="1" applyAlignment="1">
      <alignment horizontal="center" vertical="center"/>
    </xf>
    <xf numFmtId="164" fontId="0" fillId="0" borderId="63" xfId="0" applyNumberFormat="1" applyBorder="1" applyAlignment="1">
      <alignment horizontal="center" vertical="center"/>
    </xf>
    <xf numFmtId="49" fontId="18" fillId="0" borderId="40" xfId="0" applyNumberFormat="1" applyFont="1" applyBorder="1" applyAlignment="1">
      <alignment horizontal="center" vertical="center"/>
    </xf>
    <xf numFmtId="0" fontId="0" fillId="0" borderId="72" xfId="0" applyBorder="1" applyAlignment="1">
      <alignment horizontal="center" vertical="center"/>
    </xf>
    <xf numFmtId="0" fontId="0" fillId="0" borderId="11" xfId="0" applyBorder="1" applyAlignment="1">
      <alignment horizontal="center" vertical="center"/>
    </xf>
    <xf numFmtId="0" fontId="0" fillId="0" borderId="41" xfId="0" applyBorder="1" applyAlignment="1">
      <alignment horizontal="center" vertical="center"/>
    </xf>
    <xf numFmtId="1" fontId="31" fillId="0" borderId="38" xfId="0" applyNumberFormat="1" applyFont="1" applyBorder="1" applyAlignment="1">
      <alignment horizontal="center" vertical="center"/>
    </xf>
    <xf numFmtId="1" fontId="0" fillId="0" borderId="22" xfId="0" applyNumberFormat="1" applyBorder="1" applyAlignment="1">
      <alignment horizontal="center" vertical="center"/>
    </xf>
    <xf numFmtId="0" fontId="0" fillId="3" borderId="63" xfId="0" applyFill="1"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2" fontId="0" fillId="0" borderId="65" xfId="0" applyNumberFormat="1" applyBorder="1" applyAlignment="1">
      <alignment horizontal="center" vertical="center"/>
    </xf>
    <xf numFmtId="164" fontId="0" fillId="0" borderId="39" xfId="0" applyNumberFormat="1" applyBorder="1" applyAlignment="1">
      <alignment horizontal="center" vertical="center"/>
    </xf>
    <xf numFmtId="1" fontId="0" fillId="0" borderId="49" xfId="0" applyNumberFormat="1" applyBorder="1" applyAlignment="1">
      <alignment horizontal="center" vertical="center"/>
    </xf>
    <xf numFmtId="2" fontId="0" fillId="0" borderId="43" xfId="0" applyNumberFormat="1" applyBorder="1" applyAlignment="1">
      <alignment horizontal="center" vertical="center"/>
    </xf>
    <xf numFmtId="2" fontId="0" fillId="0" borderId="0" xfId="0" applyNumberFormat="1" applyAlignment="1">
      <alignment horizontal="center" vertical="center"/>
    </xf>
    <xf numFmtId="1" fontId="0" fillId="0" borderId="15" xfId="0" applyNumberFormat="1" applyBorder="1" applyAlignment="1">
      <alignment horizontal="center" vertical="center"/>
    </xf>
    <xf numFmtId="1" fontId="0" fillId="0" borderId="45" xfId="0" applyNumberFormat="1" applyBorder="1" applyAlignment="1">
      <alignment horizontal="center" vertical="center"/>
    </xf>
    <xf numFmtId="1" fontId="0" fillId="0" borderId="33" xfId="0" applyNumberFormat="1" applyBorder="1" applyAlignment="1">
      <alignment horizontal="center" vertical="center"/>
    </xf>
    <xf numFmtId="1" fontId="0" fillId="0" borderId="43" xfId="0" applyNumberFormat="1" applyBorder="1" applyAlignment="1">
      <alignment horizontal="center" vertical="center"/>
    </xf>
    <xf numFmtId="1" fontId="0" fillId="0" borderId="72" xfId="0" applyNumberFormat="1" applyBorder="1" applyAlignment="1">
      <alignment horizontal="center" vertical="center"/>
    </xf>
    <xf numFmtId="1" fontId="0" fillId="0" borderId="39" xfId="0" applyNumberFormat="1" applyBorder="1" applyAlignment="1">
      <alignment horizontal="center" vertical="center"/>
    </xf>
    <xf numFmtId="0" fontId="39" fillId="0" borderId="0" xfId="0" applyFont="1" applyAlignment="1">
      <alignment horizontal="center" vertical="center"/>
    </xf>
    <xf numFmtId="0" fontId="39" fillId="0" borderId="36" xfId="0" applyFont="1" applyBorder="1" applyAlignment="1">
      <alignment horizontal="center" vertical="center"/>
    </xf>
    <xf numFmtId="0" fontId="39" fillId="0" borderId="36" xfId="0" applyFont="1" applyBorder="1" applyAlignment="1">
      <alignment horizontal="right" vertical="center"/>
    </xf>
    <xf numFmtId="0" fontId="39" fillId="0" borderId="39" xfId="0" applyFont="1" applyBorder="1" applyAlignment="1">
      <alignment horizontal="right" vertical="center"/>
    </xf>
    <xf numFmtId="2" fontId="39" fillId="0" borderId="39" xfId="0" applyNumberFormat="1" applyFont="1" applyBorder="1" applyAlignment="1">
      <alignment horizontal="center" vertical="center"/>
    </xf>
    <xf numFmtId="0" fontId="39" fillId="0" borderId="36" xfId="0" applyFont="1" applyBorder="1" applyAlignment="1">
      <alignment horizontal="left" vertical="center"/>
    </xf>
    <xf numFmtId="0" fontId="39" fillId="0" borderId="39" xfId="0" applyFont="1" applyBorder="1" applyAlignment="1">
      <alignment horizontal="left" vertical="center"/>
    </xf>
    <xf numFmtId="164" fontId="29" fillId="7" borderId="36" xfId="3" applyNumberFormat="1" applyFont="1" applyFill="1" applyBorder="1" applyAlignment="1" applyProtection="1">
      <alignment horizontal="center"/>
      <protection locked="0"/>
    </xf>
    <xf numFmtId="164" fontId="29" fillId="7" borderId="37" xfId="3" applyNumberFormat="1" applyFont="1" applyFill="1" applyBorder="1" applyAlignment="1" applyProtection="1">
      <alignment horizontal="center"/>
      <protection locked="0"/>
    </xf>
    <xf numFmtId="164" fontId="29" fillId="7" borderId="39" xfId="3" applyNumberFormat="1" applyFont="1" applyFill="1" applyBorder="1" applyAlignment="1" applyProtection="1">
      <alignment horizontal="center"/>
      <protection locked="0"/>
    </xf>
    <xf numFmtId="1" fontId="0" fillId="0" borderId="9" xfId="0" applyNumberFormat="1" applyBorder="1" applyAlignment="1">
      <alignment horizontal="center" vertical="center"/>
    </xf>
    <xf numFmtId="1" fontId="0" fillId="0" borderId="2" xfId="0" applyNumberFormat="1" applyBorder="1" applyAlignment="1">
      <alignment horizontal="center" vertical="center"/>
    </xf>
    <xf numFmtId="174" fontId="0" fillId="0" borderId="49" xfId="0" applyNumberFormat="1" applyBorder="1" applyAlignment="1">
      <alignment horizontal="center" vertical="center"/>
    </xf>
    <xf numFmtId="168" fontId="0" fillId="0" borderId="49" xfId="0" applyNumberFormat="1" applyBorder="1" applyAlignment="1">
      <alignment horizontal="center" vertical="center"/>
    </xf>
    <xf numFmtId="1" fontId="0" fillId="0" borderId="11" xfId="0" applyNumberFormat="1" applyBorder="1" applyAlignment="1">
      <alignment horizontal="center" vertical="center"/>
    </xf>
    <xf numFmtId="164" fontId="29" fillId="0" borderId="33" xfId="0" applyNumberFormat="1" applyFont="1" applyBorder="1" applyAlignment="1">
      <alignment horizontal="center"/>
    </xf>
    <xf numFmtId="164" fontId="31" fillId="0" borderId="10" xfId="3" applyNumberFormat="1" applyFont="1" applyBorder="1" applyAlignment="1" applyProtection="1">
      <alignment horizontal="center"/>
    </xf>
    <xf numFmtId="164" fontId="31" fillId="0" borderId="14" xfId="3" applyNumberFormat="1" applyFont="1" applyBorder="1" applyAlignment="1" applyProtection="1">
      <alignment horizontal="center"/>
    </xf>
    <xf numFmtId="164" fontId="31" fillId="0" borderId="53" xfId="3" applyNumberFormat="1" applyFont="1" applyBorder="1" applyAlignment="1" applyProtection="1">
      <alignment horizontal="center"/>
    </xf>
    <xf numFmtId="0" fontId="31" fillId="0" borderId="40" xfId="0" applyFont="1" applyBorder="1" applyAlignment="1">
      <alignment horizontal="center" vertical="center"/>
    </xf>
    <xf numFmtId="0" fontId="31" fillId="0" borderId="49" xfId="0" applyFont="1" applyBorder="1" applyAlignment="1">
      <alignment horizontal="center" vertical="center"/>
    </xf>
    <xf numFmtId="0" fontId="31" fillId="0" borderId="43" xfId="0" applyFont="1" applyBorder="1" applyAlignment="1">
      <alignment horizontal="center" vertical="center"/>
    </xf>
    <xf numFmtId="167" fontId="31" fillId="0" borderId="35" xfId="0" applyNumberFormat="1" applyFont="1" applyBorder="1" applyAlignment="1">
      <alignment horizontal="center"/>
    </xf>
    <xf numFmtId="167" fontId="31" fillId="0" borderId="20" xfId="0" applyNumberFormat="1" applyFont="1" applyBorder="1" applyAlignment="1">
      <alignment horizontal="center"/>
    </xf>
    <xf numFmtId="167" fontId="31" fillId="0" borderId="29" xfId="0" applyNumberFormat="1" applyFont="1" applyBorder="1" applyAlignment="1">
      <alignment horizontal="center"/>
    </xf>
    <xf numFmtId="1" fontId="39" fillId="0" borderId="34" xfId="0" applyNumberFormat="1" applyFont="1" applyBorder="1" applyAlignment="1">
      <alignment horizontal="center" vertical="center"/>
    </xf>
    <xf numFmtId="1" fontId="39" fillId="0" borderId="24" xfId="0" applyNumberFormat="1" applyFont="1" applyBorder="1" applyAlignment="1">
      <alignment horizontal="center" vertical="center"/>
    </xf>
    <xf numFmtId="1" fontId="39" fillId="0" borderId="38" xfId="0" applyNumberFormat="1" applyFont="1" applyBorder="1" applyAlignment="1">
      <alignment horizontal="center" vertical="center"/>
    </xf>
    <xf numFmtId="164" fontId="0" fillId="0" borderId="40" xfId="0" applyNumberFormat="1" applyBorder="1" applyAlignment="1">
      <alignment horizontal="center" vertical="center"/>
    </xf>
    <xf numFmtId="164" fontId="0" fillId="0" borderId="72" xfId="0" applyNumberFormat="1" applyBorder="1" applyAlignment="1">
      <alignment horizontal="center" vertical="center"/>
    </xf>
    <xf numFmtId="2" fontId="0" fillId="0" borderId="49" xfId="0" applyNumberFormat="1" applyBorder="1" applyAlignment="1">
      <alignment horizontal="center" vertical="center"/>
    </xf>
    <xf numFmtId="2" fontId="29" fillId="7" borderId="35" xfId="0" applyNumberFormat="1" applyFont="1" applyFill="1" applyBorder="1" applyAlignment="1" applyProtection="1">
      <alignment horizontal="center"/>
      <protection locked="0"/>
    </xf>
    <xf numFmtId="164" fontId="39" fillId="0" borderId="0" xfId="0" applyNumberFormat="1" applyFont="1"/>
    <xf numFmtId="2" fontId="39" fillId="0" borderId="0" xfId="0" applyNumberFormat="1" applyFont="1" applyAlignment="1">
      <alignment horizontal="center" vertical="center"/>
    </xf>
    <xf numFmtId="0" fontId="22" fillId="0" borderId="68" xfId="0" applyFont="1" applyBorder="1"/>
    <xf numFmtId="0" fontId="21" fillId="7" borderId="6" xfId="0" applyFont="1" applyFill="1" applyBorder="1" applyAlignment="1" applyProtection="1">
      <alignment horizontal="left"/>
      <protection locked="0"/>
    </xf>
    <xf numFmtId="0" fontId="18" fillId="0" borderId="43" xfId="0" applyFont="1" applyBorder="1" applyAlignment="1">
      <alignment horizontal="center" vertical="center"/>
    </xf>
    <xf numFmtId="0" fontId="26" fillId="0" borderId="40" xfId="0" applyFont="1" applyBorder="1" applyAlignment="1">
      <alignment horizontal="center" vertical="center"/>
    </xf>
    <xf numFmtId="0" fontId="26" fillId="0" borderId="49" xfId="0" applyFont="1" applyBorder="1" applyAlignment="1">
      <alignment horizontal="center" vertical="center"/>
    </xf>
    <xf numFmtId="0" fontId="26" fillId="0" borderId="43" xfId="0" applyFont="1" applyBorder="1" applyAlignment="1">
      <alignment horizontal="center" vertical="center"/>
    </xf>
    <xf numFmtId="0" fontId="21" fillId="0" borderId="23" xfId="0" applyFont="1" applyBorder="1" applyAlignment="1">
      <alignment horizontal="left"/>
    </xf>
    <xf numFmtId="164" fontId="22" fillId="0" borderId="10" xfId="0" applyNumberFormat="1" applyFont="1" applyBorder="1" applyAlignment="1">
      <alignment horizontal="center" vertical="center"/>
    </xf>
    <xf numFmtId="164" fontId="22" fillId="0" borderId="14" xfId="0" applyNumberFormat="1" applyFont="1" applyBorder="1" applyAlignment="1">
      <alignment horizontal="center" vertical="center"/>
    </xf>
    <xf numFmtId="164" fontId="22" fillId="0" borderId="53" xfId="0" applyNumberFormat="1" applyFont="1" applyBorder="1" applyAlignment="1">
      <alignment horizontal="center" vertical="center"/>
    </xf>
    <xf numFmtId="164" fontId="22" fillId="0" borderId="65" xfId="0" applyNumberFormat="1" applyFont="1" applyBorder="1" applyAlignment="1">
      <alignment horizontal="center" vertical="center"/>
    </xf>
    <xf numFmtId="1" fontId="22" fillId="0" borderId="41" xfId="0" applyNumberFormat="1" applyFont="1" applyBorder="1" applyAlignment="1">
      <alignment horizontal="center" vertical="center"/>
    </xf>
    <xf numFmtId="1" fontId="22" fillId="0" borderId="15" xfId="0" applyNumberFormat="1" applyFont="1" applyBorder="1" applyAlignment="1">
      <alignment horizontal="center" vertical="center"/>
    </xf>
    <xf numFmtId="1" fontId="22" fillId="0" borderId="45" xfId="0" applyNumberFormat="1" applyFont="1" applyBorder="1" applyAlignment="1">
      <alignment horizontal="center" vertical="center"/>
    </xf>
    <xf numFmtId="1" fontId="22" fillId="0" borderId="7" xfId="0" applyNumberFormat="1" applyFont="1" applyBorder="1" applyAlignment="1">
      <alignment horizontal="center" vertical="center"/>
    </xf>
    <xf numFmtId="0" fontId="0" fillId="0" borderId="36" xfId="0" applyBorder="1" applyAlignment="1">
      <alignment horizontal="center" vertical="center"/>
    </xf>
    <xf numFmtId="164" fontId="63" fillId="0" borderId="0" xfId="0" applyNumberFormat="1" applyFont="1" applyAlignment="1">
      <alignment horizontal="center" vertical="center"/>
    </xf>
    <xf numFmtId="1" fontId="22" fillId="0" borderId="44" xfId="0" applyNumberFormat="1" applyFont="1" applyBorder="1" applyAlignment="1">
      <alignment horizontal="center" vertical="center"/>
    </xf>
    <xf numFmtId="0" fontId="21" fillId="0" borderId="37" xfId="0" applyFont="1" applyBorder="1" applyAlignment="1">
      <alignment horizontal="center" vertical="center"/>
    </xf>
    <xf numFmtId="0" fontId="21" fillId="0" borderId="43" xfId="0" applyFont="1" applyBorder="1" applyAlignment="1">
      <alignment horizontal="center" vertical="center"/>
    </xf>
    <xf numFmtId="49" fontId="0" fillId="0" borderId="0" xfId="0" applyNumberFormat="1" applyAlignment="1">
      <alignment horizontal="left" vertical="center"/>
    </xf>
    <xf numFmtId="49" fontId="20" fillId="0" borderId="0" xfId="0" applyNumberFormat="1" applyFont="1" applyAlignment="1">
      <alignment horizontal="left" vertical="center"/>
    </xf>
    <xf numFmtId="49" fontId="9" fillId="0" borderId="0" xfId="0" applyNumberFormat="1" applyFont="1" applyAlignment="1">
      <alignment horizontal="left" vertical="center"/>
    </xf>
    <xf numFmtId="49" fontId="9" fillId="0" borderId="0" xfId="0" applyNumberFormat="1" applyFont="1" applyAlignment="1">
      <alignment vertical="center"/>
    </xf>
    <xf numFmtId="49" fontId="10" fillId="0" borderId="0" xfId="0" applyNumberFormat="1" applyFont="1" applyAlignment="1">
      <alignment horizontal="left" vertical="center"/>
    </xf>
    <xf numFmtId="49" fontId="10" fillId="0" borderId="0" xfId="0" applyNumberFormat="1" applyFont="1" applyAlignment="1">
      <alignment vertical="center"/>
    </xf>
    <xf numFmtId="49" fontId="7" fillId="0" borderId="0" xfId="0" applyNumberFormat="1" applyFont="1" applyAlignment="1">
      <alignment horizontal="left" vertical="center"/>
    </xf>
    <xf numFmtId="49" fontId="11" fillId="0" borderId="0" xfId="0" applyNumberFormat="1" applyFont="1" applyAlignment="1">
      <alignment horizontal="left" vertical="center"/>
    </xf>
    <xf numFmtId="49" fontId="12" fillId="0" borderId="0" xfId="0" applyNumberFormat="1" applyFont="1" applyAlignment="1">
      <alignment horizontal="left" vertical="center"/>
    </xf>
    <xf numFmtId="49" fontId="8" fillId="0" borderId="0" xfId="0" applyNumberFormat="1" applyFont="1" applyAlignment="1">
      <alignment vertical="center"/>
    </xf>
    <xf numFmtId="49" fontId="6" fillId="0" borderId="0" xfId="0" applyNumberFormat="1" applyFont="1" applyAlignment="1">
      <alignment horizontal="left" vertical="center"/>
    </xf>
    <xf numFmtId="49" fontId="8" fillId="0" borderId="0" xfId="0" applyNumberFormat="1" applyFont="1" applyAlignment="1">
      <alignment horizontal="left" vertical="center"/>
    </xf>
    <xf numFmtId="49" fontId="9" fillId="0" borderId="0" xfId="0" applyNumberFormat="1" applyFont="1" applyAlignment="1">
      <alignment horizontal="left" vertical="center" wrapText="1"/>
    </xf>
    <xf numFmtId="49" fontId="0" fillId="0" borderId="0" xfId="0" applyNumberFormat="1" applyAlignment="1">
      <alignment horizontal="left" vertical="center" wrapText="1"/>
    </xf>
    <xf numFmtId="49" fontId="9" fillId="0" borderId="0" xfId="0" quotePrefix="1" applyNumberFormat="1" applyFont="1" applyAlignment="1">
      <alignment horizontal="left" vertical="center" wrapText="1"/>
    </xf>
    <xf numFmtId="0" fontId="0" fillId="0" borderId="29" xfId="0" applyBorder="1" applyAlignment="1">
      <alignment horizontal="center" vertical="center"/>
    </xf>
    <xf numFmtId="0" fontId="0" fillId="0" borderId="33" xfId="0" applyBorder="1" applyAlignment="1">
      <alignment horizontal="center" vertical="center" wrapText="1"/>
    </xf>
    <xf numFmtId="0" fontId="0" fillId="0" borderId="40" xfId="0" applyBorder="1" applyAlignment="1">
      <alignment wrapText="1"/>
    </xf>
    <xf numFmtId="0" fontId="0" fillId="0" borderId="49" xfId="0" applyBorder="1" applyAlignment="1">
      <alignment wrapText="1"/>
    </xf>
    <xf numFmtId="0" fontId="0" fillId="0" borderId="43" xfId="0" applyBorder="1" applyAlignment="1">
      <alignment wrapText="1"/>
    </xf>
    <xf numFmtId="2" fontId="8" fillId="0" borderId="11" xfId="0" applyNumberFormat="1" applyFont="1" applyBorder="1" applyAlignment="1">
      <alignment horizontal="center" vertical="center"/>
    </xf>
    <xf numFmtId="1" fontId="8" fillId="0" borderId="9" xfId="0" applyNumberFormat="1" applyFont="1" applyBorder="1" applyAlignment="1">
      <alignment horizontal="center" vertical="center"/>
    </xf>
    <xf numFmtId="2" fontId="7" fillId="0" borderId="44" xfId="0" applyNumberFormat="1" applyFont="1" applyBorder="1" applyAlignment="1">
      <alignment horizontal="center" vertical="center"/>
    </xf>
    <xf numFmtId="0" fontId="21" fillId="7" borderId="52" xfId="0" applyFont="1" applyFill="1" applyBorder="1" applyAlignment="1" applyProtection="1">
      <alignment horizontal="center" vertical="center"/>
      <protection locked="0"/>
    </xf>
    <xf numFmtId="49" fontId="9" fillId="0" borderId="19" xfId="0" applyNumberFormat="1" applyFont="1" applyBorder="1" applyAlignment="1">
      <alignment horizontal="center" vertical="center"/>
    </xf>
    <xf numFmtId="1" fontId="9" fillId="0" borderId="19" xfId="0" applyNumberFormat="1" applyFont="1" applyBorder="1" applyAlignment="1">
      <alignment horizontal="center" vertical="center"/>
    </xf>
    <xf numFmtId="164" fontId="9" fillId="0" borderId="72" xfId="0" applyNumberFormat="1" applyFont="1" applyBorder="1" applyAlignment="1">
      <alignment horizontal="center" vertical="center"/>
    </xf>
    <xf numFmtId="0" fontId="8" fillId="0" borderId="23" xfId="0" applyFont="1" applyBorder="1" applyAlignment="1">
      <alignment horizontal="center" vertical="center"/>
    </xf>
    <xf numFmtId="2" fontId="9" fillId="0" borderId="19" xfId="0" applyNumberFormat="1" applyFont="1" applyBorder="1" applyAlignment="1">
      <alignment horizontal="center" vertical="center"/>
    </xf>
    <xf numFmtId="164" fontId="9" fillId="0" borderId="49" xfId="0" applyNumberFormat="1" applyFont="1" applyBorder="1" applyAlignment="1">
      <alignment horizontal="center" vertical="center"/>
    </xf>
    <xf numFmtId="0" fontId="8" fillId="0" borderId="15" xfId="0" applyFont="1" applyBorder="1" applyAlignment="1">
      <alignment horizontal="center" vertical="center"/>
    </xf>
    <xf numFmtId="49" fontId="9" fillId="0" borderId="38" xfId="0" applyNumberFormat="1" applyFont="1" applyBorder="1" applyAlignment="1">
      <alignment horizontal="center" vertical="center"/>
    </xf>
    <xf numFmtId="2" fontId="9" fillId="0" borderId="38" xfId="0" applyNumberFormat="1" applyFont="1" applyBorder="1" applyAlignment="1">
      <alignment horizontal="center" vertical="center"/>
    </xf>
    <xf numFmtId="164" fontId="9" fillId="0" borderId="43" xfId="0" applyNumberFormat="1" applyFont="1" applyBorder="1" applyAlignment="1">
      <alignment horizontal="center" vertical="center"/>
    </xf>
    <xf numFmtId="0" fontId="8" fillId="0" borderId="45" xfId="0" applyFont="1" applyBorder="1" applyAlignment="1">
      <alignment horizontal="center" vertical="center"/>
    </xf>
    <xf numFmtId="164" fontId="26" fillId="0" borderId="39" xfId="0" applyNumberFormat="1" applyFont="1" applyBorder="1" applyAlignment="1">
      <alignment horizontal="center" vertical="center" wrapText="1"/>
    </xf>
    <xf numFmtId="0" fontId="80" fillId="0" borderId="24" xfId="0" applyFont="1" applyBorder="1" applyAlignment="1">
      <alignment horizontal="left"/>
    </xf>
    <xf numFmtId="0" fontId="18" fillId="0" borderId="0" xfId="2" applyFont="1" applyAlignment="1">
      <alignment vertical="center"/>
    </xf>
    <xf numFmtId="0" fontId="39" fillId="0" borderId="0" xfId="0" applyFont="1" applyAlignment="1">
      <alignment vertical="center"/>
    </xf>
    <xf numFmtId="0" fontId="41" fillId="0" borderId="0" xfId="0" applyFont="1" applyAlignment="1">
      <alignment vertical="center"/>
    </xf>
    <xf numFmtId="168" fontId="41" fillId="0" borderId="0" xfId="0" applyNumberFormat="1" applyFont="1" applyAlignment="1">
      <alignment vertical="center"/>
    </xf>
    <xf numFmtId="0" fontId="0" fillId="0" borderId="20" xfId="0" applyBorder="1" applyAlignment="1">
      <alignment wrapText="1"/>
    </xf>
    <xf numFmtId="0" fontId="18" fillId="0" borderId="0" xfId="2" applyFont="1" applyAlignment="1">
      <alignment horizontal="center" vertical="center"/>
    </xf>
    <xf numFmtId="0" fontId="18" fillId="0" borderId="28" xfId="2" applyFont="1" applyBorder="1" applyAlignment="1">
      <alignment horizontal="center" vertical="center"/>
    </xf>
    <xf numFmtId="0" fontId="18" fillId="0" borderId="24" xfId="2" applyFont="1" applyBorder="1" applyAlignment="1">
      <alignment horizontal="center" vertical="center"/>
    </xf>
    <xf numFmtId="49" fontId="22" fillId="0" borderId="0" xfId="0" applyNumberFormat="1" applyFont="1" applyAlignment="1">
      <alignment vertical="center"/>
    </xf>
    <xf numFmtId="49" fontId="21" fillId="0" borderId="0" xfId="0" applyNumberFormat="1" applyFont="1" applyAlignment="1">
      <alignment vertical="center"/>
    </xf>
    <xf numFmtId="49" fontId="20" fillId="0" borderId="0" xfId="0" applyNumberFormat="1" applyFont="1" applyAlignment="1">
      <alignment vertical="center"/>
    </xf>
    <xf numFmtId="49" fontId="0" fillId="0" borderId="0" xfId="0" applyNumberFormat="1" applyAlignment="1">
      <alignment horizontal="center" vertical="center"/>
    </xf>
    <xf numFmtId="49" fontId="41" fillId="0" borderId="0" xfId="0" applyNumberFormat="1" applyFont="1" applyAlignment="1">
      <alignment horizontal="center" vertical="center"/>
    </xf>
    <xf numFmtId="49" fontId="9" fillId="0" borderId="0" xfId="0" quotePrefix="1" applyNumberFormat="1" applyFont="1" applyAlignment="1">
      <alignment horizontal="left" vertical="center" wrapText="1" readingOrder="1"/>
    </xf>
    <xf numFmtId="0" fontId="29" fillId="2" borderId="32" xfId="0" applyFont="1" applyFill="1" applyBorder="1" applyAlignment="1">
      <alignment horizontal="left" vertical="center"/>
    </xf>
    <xf numFmtId="0" fontId="2" fillId="0" borderId="0" xfId="0" applyFont="1" applyAlignment="1">
      <alignment horizontal="center" vertical="center"/>
    </xf>
    <xf numFmtId="0" fontId="0" fillId="0" borderId="67" xfId="0" applyBorder="1" applyAlignment="1">
      <alignment horizontal="center" vertical="center"/>
    </xf>
    <xf numFmtId="0" fontId="0" fillId="0" borderId="63" xfId="0" applyBorder="1" applyAlignment="1">
      <alignment horizontal="center" vertical="center"/>
    </xf>
    <xf numFmtId="0" fontId="0" fillId="0" borderId="68" xfId="0" applyBorder="1" applyAlignment="1">
      <alignment horizontal="center" vertical="center"/>
    </xf>
    <xf numFmtId="0" fontId="0" fillId="0" borderId="59" xfId="0"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horizontal="center" vertical="center"/>
    </xf>
    <xf numFmtId="0" fontId="0" fillId="0" borderId="74" xfId="0" applyBorder="1" applyAlignment="1">
      <alignment horizontal="center" vertical="center"/>
    </xf>
    <xf numFmtId="49" fontId="18" fillId="0" borderId="49" xfId="0" applyNumberFormat="1" applyFont="1" applyBorder="1" applyAlignment="1">
      <alignment horizontal="center" vertical="center"/>
    </xf>
    <xf numFmtId="0" fontId="21" fillId="7" borderId="51" xfId="0" applyFont="1" applyFill="1" applyBorder="1" applyAlignment="1" applyProtection="1">
      <alignment horizontal="left"/>
      <protection locked="0"/>
    </xf>
    <xf numFmtId="0" fontId="0" fillId="0" borderId="32" xfId="0" applyBorder="1" applyAlignment="1">
      <alignment horizontal="left" vertical="center"/>
    </xf>
    <xf numFmtId="0" fontId="0" fillId="0" borderId="31" xfId="0" applyBorder="1" applyAlignment="1">
      <alignment horizontal="left" vertical="center"/>
    </xf>
    <xf numFmtId="0" fontId="18" fillId="0" borderId="34" xfId="0" applyFont="1" applyBorder="1" applyAlignment="1">
      <alignment horizontal="left"/>
    </xf>
    <xf numFmtId="0" fontId="18" fillId="0" borderId="42" xfId="0" applyFont="1" applyBorder="1" applyAlignment="1">
      <alignment horizontal="left"/>
    </xf>
    <xf numFmtId="0" fontId="18" fillId="0" borderId="35" xfId="0" applyFont="1" applyBorder="1"/>
    <xf numFmtId="0" fontId="10" fillId="0" borderId="0" xfId="0" applyFont="1"/>
    <xf numFmtId="0" fontId="31" fillId="0" borderId="0" xfId="0" applyFont="1" applyAlignment="1">
      <alignment horizontal="left" vertical="center"/>
    </xf>
    <xf numFmtId="1" fontId="31" fillId="0" borderId="0" xfId="0" applyNumberFormat="1" applyFont="1" applyAlignment="1">
      <alignment horizontal="center"/>
    </xf>
    <xf numFmtId="164" fontId="18" fillId="0" borderId="51" xfId="2" applyNumberFormat="1" applyFont="1" applyBorder="1" applyAlignment="1">
      <alignment horizontal="center" vertical="center"/>
    </xf>
    <xf numFmtId="49" fontId="2" fillId="0" borderId="34" xfId="0" applyNumberFormat="1" applyFont="1" applyBorder="1" applyAlignment="1">
      <alignment horizontal="center"/>
    </xf>
    <xf numFmtId="164" fontId="8" fillId="0" borderId="0" xfId="0" applyNumberFormat="1" applyFont="1" applyAlignment="1">
      <alignment horizontal="center" vertical="center"/>
    </xf>
    <xf numFmtId="0" fontId="20" fillId="0" borderId="59" xfId="0" applyFont="1" applyBorder="1" applyAlignment="1">
      <alignment horizontal="center" vertical="center"/>
    </xf>
    <xf numFmtId="0" fontId="22" fillId="0" borderId="64" xfId="0" applyFont="1" applyBorder="1"/>
    <xf numFmtId="0" fontId="22" fillId="0" borderId="52" xfId="0" applyFont="1" applyBorder="1" applyAlignment="1">
      <alignment vertical="center"/>
    </xf>
    <xf numFmtId="0" fontId="22" fillId="0" borderId="59" xfId="0" applyFont="1" applyBorder="1" applyAlignment="1">
      <alignment horizontal="left" vertical="center"/>
    </xf>
    <xf numFmtId="0" fontId="63" fillId="0" borderId="51" xfId="0" applyFont="1" applyBorder="1" applyAlignment="1">
      <alignment horizontal="center" vertical="center"/>
    </xf>
    <xf numFmtId="0" fontId="26" fillId="0" borderId="51" xfId="0" applyFont="1" applyBorder="1" applyAlignment="1">
      <alignment horizontal="left" vertical="center"/>
    </xf>
    <xf numFmtId="0" fontId="9" fillId="0" borderId="0" xfId="0" applyFont="1" applyAlignment="1">
      <alignment vertical="center" wrapText="1"/>
    </xf>
    <xf numFmtId="0" fontId="31" fillId="0" borderId="30" xfId="0" applyFont="1" applyBorder="1" applyAlignment="1" applyProtection="1">
      <alignment horizontal="center" vertical="center"/>
      <protection hidden="1"/>
    </xf>
    <xf numFmtId="164" fontId="8" fillId="0" borderId="0" xfId="0" applyNumberFormat="1" applyFont="1" applyAlignment="1">
      <alignment vertical="center"/>
    </xf>
    <xf numFmtId="49" fontId="18" fillId="0" borderId="43" xfId="0" applyNumberFormat="1" applyFont="1" applyBorder="1" applyAlignment="1">
      <alignment horizontal="center" vertical="center"/>
    </xf>
    <xf numFmtId="164" fontId="8" fillId="0" borderId="42" xfId="0" applyNumberFormat="1" applyFont="1" applyBorder="1" applyAlignment="1">
      <alignment horizontal="center" vertical="center"/>
    </xf>
    <xf numFmtId="0" fontId="25" fillId="0" borderId="33" xfId="0" applyFont="1" applyBorder="1" applyAlignment="1">
      <alignment horizontal="center" vertical="center"/>
    </xf>
    <xf numFmtId="0" fontId="31" fillId="0" borderId="51" xfId="0" applyFont="1" applyBorder="1"/>
    <xf numFmtId="0" fontId="39" fillId="0" borderId="55" xfId="0" applyFont="1" applyBorder="1"/>
    <xf numFmtId="0" fontId="66" fillId="0" borderId="0" xfId="0" applyFont="1" applyAlignment="1">
      <alignment vertical="center"/>
    </xf>
    <xf numFmtId="0" fontId="67" fillId="0" borderId="0" xfId="0" applyFont="1" applyAlignment="1">
      <alignment vertical="center"/>
    </xf>
    <xf numFmtId="0" fontId="68" fillId="0" borderId="0" xfId="0" applyFont="1" applyAlignment="1">
      <alignment vertical="center"/>
    </xf>
    <xf numFmtId="0" fontId="68" fillId="0" borderId="0" xfId="0" applyFont="1" applyAlignment="1" applyProtection="1">
      <alignment vertical="center"/>
      <protection hidden="1"/>
    </xf>
    <xf numFmtId="0" fontId="68" fillId="0" borderId="42" xfId="0" applyFont="1" applyBorder="1" applyAlignment="1">
      <alignment vertical="center"/>
    </xf>
    <xf numFmtId="0" fontId="69" fillId="0" borderId="42" xfId="0" applyFont="1" applyBorder="1" applyAlignment="1">
      <alignment vertical="center"/>
    </xf>
    <xf numFmtId="0" fontId="69" fillId="0" borderId="28" xfId="0" applyFont="1" applyBorder="1" applyAlignment="1">
      <alignment vertical="center"/>
    </xf>
    <xf numFmtId="0" fontId="7" fillId="7" borderId="51" xfId="0" applyFont="1" applyFill="1" applyBorder="1" applyAlignment="1" applyProtection="1">
      <alignment horizontal="center" vertical="center"/>
      <protection locked="0"/>
    </xf>
    <xf numFmtId="49" fontId="2" fillId="0" borderId="51" xfId="0" applyNumberFormat="1" applyFont="1" applyBorder="1" applyAlignment="1">
      <alignment horizontal="center"/>
    </xf>
    <xf numFmtId="0" fontId="2" fillId="0" borderId="51" xfId="3" applyNumberFormat="1" applyFont="1" applyBorder="1" applyProtection="1"/>
    <xf numFmtId="171" fontId="2" fillId="0" borderId="51" xfId="3" applyNumberFormat="1" applyFont="1" applyBorder="1" applyProtection="1"/>
    <xf numFmtId="0" fontId="29" fillId="7" borderId="37" xfId="0" applyFont="1" applyFill="1" applyBorder="1" applyAlignment="1" applyProtection="1">
      <alignment horizontal="center"/>
      <protection locked="0"/>
    </xf>
    <xf numFmtId="0" fontId="29" fillId="7" borderId="42" xfId="0" applyFont="1" applyFill="1" applyBorder="1" applyAlignment="1" applyProtection="1">
      <alignment horizontal="center"/>
      <protection locked="0"/>
    </xf>
    <xf numFmtId="0" fontId="29" fillId="7" borderId="36" xfId="0" applyFont="1" applyFill="1" applyBorder="1" applyAlignment="1" applyProtection="1">
      <alignment horizontal="center"/>
      <protection locked="0"/>
    </xf>
    <xf numFmtId="0" fontId="29" fillId="7" borderId="0" xfId="0" applyFont="1" applyFill="1" applyAlignment="1" applyProtection="1">
      <alignment horizontal="center"/>
      <protection locked="0"/>
    </xf>
    <xf numFmtId="0" fontId="29" fillId="7" borderId="39" xfId="0" applyFont="1" applyFill="1" applyBorder="1" applyAlignment="1" applyProtection="1">
      <alignment horizontal="center"/>
      <protection locked="0"/>
    </xf>
    <xf numFmtId="0" fontId="29" fillId="7" borderId="28" xfId="0" applyFont="1" applyFill="1" applyBorder="1" applyAlignment="1" applyProtection="1">
      <alignment horizontal="center"/>
      <protection locked="0"/>
    </xf>
    <xf numFmtId="168" fontId="2" fillId="0" borderId="51" xfId="0" applyNumberFormat="1" applyFont="1" applyBorder="1"/>
    <xf numFmtId="0" fontId="2" fillId="0" borderId="58" xfId="0" applyFont="1" applyBorder="1"/>
    <xf numFmtId="0" fontId="2" fillId="0" borderId="59" xfId="0" applyFont="1" applyBorder="1"/>
    <xf numFmtId="168" fontId="2" fillId="0" borderId="58" xfId="0" applyNumberFormat="1" applyFont="1" applyBorder="1"/>
    <xf numFmtId="168" fontId="2" fillId="0" borderId="59" xfId="0" applyNumberFormat="1" applyFont="1" applyBorder="1"/>
    <xf numFmtId="168" fontId="2" fillId="0" borderId="60" xfId="0" applyNumberFormat="1" applyFont="1" applyBorder="1"/>
    <xf numFmtId="168" fontId="2" fillId="0" borderId="55" xfId="0" applyNumberFormat="1" applyFont="1" applyBorder="1"/>
    <xf numFmtId="2" fontId="2" fillId="0" borderId="61" xfId="0" applyNumberFormat="1" applyFont="1" applyBorder="1"/>
    <xf numFmtId="164" fontId="31" fillId="0" borderId="0" xfId="0" applyNumberFormat="1" applyFont="1" applyFill="1" applyBorder="1" applyAlignment="1" applyProtection="1">
      <alignment horizontal="center"/>
      <protection locked="0"/>
    </xf>
    <xf numFmtId="1" fontId="31" fillId="0" borderId="0" xfId="0" applyNumberFormat="1" applyFont="1" applyFill="1" applyBorder="1" applyAlignment="1" applyProtection="1">
      <alignment horizontal="center"/>
      <protection locked="0"/>
    </xf>
    <xf numFmtId="0" fontId="8" fillId="6" borderId="30" xfId="0" applyFont="1" applyFill="1" applyBorder="1" applyAlignment="1">
      <alignment horizontal="left" vertical="center"/>
    </xf>
    <xf numFmtId="0" fontId="8" fillId="6" borderId="32" xfId="0" applyFont="1" applyFill="1" applyBorder="1" applyAlignment="1">
      <alignment horizontal="left" vertical="center"/>
    </xf>
    <xf numFmtId="0" fontId="8" fillId="6" borderId="31" xfId="0" applyFont="1" applyFill="1" applyBorder="1" applyAlignment="1">
      <alignment horizontal="left" vertical="center"/>
    </xf>
    <xf numFmtId="0" fontId="7" fillId="6" borderId="30" xfId="0" applyFont="1" applyFill="1" applyBorder="1" applyAlignment="1">
      <alignment horizontal="left" vertical="center"/>
    </xf>
    <xf numFmtId="0" fontId="7" fillId="6" borderId="32" xfId="0" applyFont="1" applyFill="1" applyBorder="1" applyAlignment="1">
      <alignment horizontal="left" vertical="center"/>
    </xf>
    <xf numFmtId="0" fontId="7" fillId="6" borderId="31" xfId="0" applyFont="1" applyFill="1" applyBorder="1" applyAlignment="1">
      <alignment horizontal="left" vertical="center"/>
    </xf>
    <xf numFmtId="0" fontId="10" fillId="0" borderId="0" xfId="0" applyFont="1" applyAlignment="1">
      <alignment horizontal="center" vertical="center"/>
    </xf>
    <xf numFmtId="0" fontId="21" fillId="2" borderId="30" xfId="0" applyFont="1" applyFill="1" applyBorder="1" applyAlignment="1">
      <alignment horizontal="left" vertical="center"/>
    </xf>
    <xf numFmtId="0" fontId="21" fillId="2" borderId="32" xfId="0" applyFont="1" applyFill="1" applyBorder="1" applyAlignment="1">
      <alignment horizontal="left" vertical="center"/>
    </xf>
    <xf numFmtId="0" fontId="20" fillId="2" borderId="32" xfId="0" applyFont="1" applyFill="1" applyBorder="1" applyAlignment="1">
      <alignment horizontal="right" vertical="center"/>
    </xf>
    <xf numFmtId="0" fontId="20" fillId="2" borderId="31" xfId="0" applyFont="1" applyFill="1" applyBorder="1" applyAlignment="1">
      <alignment horizontal="right" vertical="center"/>
    </xf>
    <xf numFmtId="0" fontId="22" fillId="0" borderId="0" xfId="0" applyFont="1" applyAlignment="1">
      <alignment horizontal="left" vertical="center"/>
    </xf>
    <xf numFmtId="0" fontId="24" fillId="2" borderId="30" xfId="0" applyFont="1" applyFill="1" applyBorder="1" applyAlignment="1">
      <alignment horizontal="left" vertical="center"/>
    </xf>
    <xf numFmtId="0" fontId="24" fillId="2" borderId="32" xfId="0" applyFont="1" applyFill="1" applyBorder="1" applyAlignment="1">
      <alignment horizontal="left" vertical="center"/>
    </xf>
    <xf numFmtId="0" fontId="24" fillId="2" borderId="31" xfId="0" applyFont="1" applyFill="1" applyBorder="1" applyAlignment="1">
      <alignment horizontal="left" vertical="center"/>
    </xf>
    <xf numFmtId="0" fontId="21" fillId="2" borderId="31" xfId="0" applyFont="1" applyFill="1" applyBorder="1" applyAlignment="1">
      <alignment horizontal="left" vertical="center"/>
    </xf>
    <xf numFmtId="164" fontId="8" fillId="7" borderId="34" xfId="0" applyNumberFormat="1" applyFont="1" applyFill="1" applyBorder="1" applyAlignment="1">
      <alignment horizontal="center" vertical="center"/>
    </xf>
    <xf numFmtId="164" fontId="8" fillId="7" borderId="42" xfId="0" applyNumberFormat="1" applyFont="1" applyFill="1" applyBorder="1" applyAlignment="1">
      <alignment horizontal="center" vertical="center"/>
    </xf>
    <xf numFmtId="164" fontId="8" fillId="7" borderId="35" xfId="0" applyNumberFormat="1" applyFont="1" applyFill="1" applyBorder="1" applyAlignment="1">
      <alignment horizontal="center" vertical="center"/>
    </xf>
    <xf numFmtId="0" fontId="8" fillId="2" borderId="30" xfId="0" applyFont="1" applyFill="1" applyBorder="1" applyAlignment="1">
      <alignment horizontal="left" vertical="center"/>
    </xf>
    <xf numFmtId="0" fontId="8" fillId="2" borderId="32" xfId="0" applyFont="1" applyFill="1" applyBorder="1" applyAlignment="1">
      <alignment horizontal="left" vertical="center"/>
    </xf>
    <xf numFmtId="0" fontId="8" fillId="2" borderId="31" xfId="0" applyFont="1" applyFill="1" applyBorder="1" applyAlignment="1">
      <alignment horizontal="left" vertical="center"/>
    </xf>
    <xf numFmtId="0" fontId="9" fillId="0" borderId="0" xfId="0" applyFont="1" applyAlignment="1">
      <alignment horizontal="left" vertical="center" wrapText="1"/>
    </xf>
    <xf numFmtId="0" fontId="9" fillId="0" borderId="20" xfId="0" applyFont="1" applyBorder="1" applyAlignment="1">
      <alignment horizontal="left" vertical="center" wrapText="1"/>
    </xf>
    <xf numFmtId="0" fontId="9" fillId="0" borderId="9" xfId="0" applyFont="1" applyBorder="1" applyAlignment="1">
      <alignment horizontal="left" vertical="center" wrapText="1"/>
    </xf>
    <xf numFmtId="0" fontId="9" fillId="0" borderId="15" xfId="0" applyFont="1" applyBorder="1" applyAlignment="1">
      <alignment horizontal="left" vertical="center" wrapText="1"/>
    </xf>
    <xf numFmtId="0" fontId="9" fillId="0" borderId="2" xfId="0" applyFont="1" applyBorder="1" applyAlignment="1">
      <alignment horizontal="left" vertical="center"/>
    </xf>
    <xf numFmtId="0" fontId="9" fillId="0" borderId="18" xfId="0" applyFont="1" applyBorder="1" applyAlignment="1">
      <alignment horizontal="left"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164" fontId="8" fillId="0" borderId="30" xfId="0" applyNumberFormat="1" applyFont="1" applyBorder="1" applyAlignment="1">
      <alignment horizontal="center" vertical="center"/>
    </xf>
    <xf numFmtId="164" fontId="8" fillId="0" borderId="32" xfId="0" applyNumberFormat="1" applyFont="1" applyBorder="1" applyAlignment="1">
      <alignment horizontal="center" vertical="center"/>
    </xf>
    <xf numFmtId="164" fontId="8" fillId="0" borderId="31" xfId="0" applyNumberFormat="1" applyFont="1" applyBorder="1" applyAlignment="1">
      <alignment horizontal="center" vertical="center"/>
    </xf>
    <xf numFmtId="164" fontId="8" fillId="7" borderId="30" xfId="0" applyNumberFormat="1" applyFont="1" applyFill="1" applyBorder="1" applyAlignment="1">
      <alignment horizontal="center" vertical="center"/>
    </xf>
    <xf numFmtId="164" fontId="8" fillId="7" borderId="32" xfId="0" applyNumberFormat="1" applyFont="1" applyFill="1" applyBorder="1" applyAlignment="1">
      <alignment horizontal="center" vertical="center"/>
    </xf>
    <xf numFmtId="164" fontId="8" fillId="7" borderId="31" xfId="0" applyNumberFormat="1" applyFont="1" applyFill="1" applyBorder="1" applyAlignment="1">
      <alignment horizontal="center" vertical="center"/>
    </xf>
    <xf numFmtId="49" fontId="21" fillId="2" borderId="30" xfId="0" applyNumberFormat="1" applyFont="1" applyFill="1" applyBorder="1" applyAlignment="1">
      <alignment horizontal="left" vertical="center"/>
    </xf>
    <xf numFmtId="49" fontId="21" fillId="2" borderId="32" xfId="0" applyNumberFormat="1" applyFont="1" applyFill="1" applyBorder="1" applyAlignment="1">
      <alignment horizontal="left" vertical="center"/>
    </xf>
    <xf numFmtId="49" fontId="20" fillId="2" borderId="32" xfId="0" applyNumberFormat="1" applyFont="1" applyFill="1" applyBorder="1" applyAlignment="1">
      <alignment horizontal="right" vertical="center"/>
    </xf>
    <xf numFmtId="49" fontId="20" fillId="2" borderId="31" xfId="0" applyNumberFormat="1" applyFont="1" applyFill="1" applyBorder="1" applyAlignment="1">
      <alignment horizontal="right" vertical="center"/>
    </xf>
    <xf numFmtId="0" fontId="22" fillId="0" borderId="42" xfId="0" applyFont="1" applyBorder="1" applyAlignment="1">
      <alignment horizontal="left" vertical="center"/>
    </xf>
    <xf numFmtId="49" fontId="8" fillId="2" borderId="30" xfId="0" applyNumberFormat="1" applyFont="1" applyFill="1" applyBorder="1" applyAlignment="1">
      <alignment horizontal="left" vertical="center"/>
    </xf>
    <xf numFmtId="49" fontId="8" fillId="2" borderId="32" xfId="0" applyNumberFormat="1" applyFont="1" applyFill="1" applyBorder="1" applyAlignment="1">
      <alignment horizontal="left" vertical="center"/>
    </xf>
    <xf numFmtId="49" fontId="8" fillId="2" borderId="31" xfId="0" applyNumberFormat="1" applyFont="1" applyFill="1" applyBorder="1" applyAlignment="1">
      <alignment horizontal="left" vertical="center"/>
    </xf>
    <xf numFmtId="49" fontId="8" fillId="6" borderId="30" xfId="0" applyNumberFormat="1" applyFont="1" applyFill="1" applyBorder="1" applyAlignment="1">
      <alignment horizontal="left" vertical="center"/>
    </xf>
    <xf numFmtId="49" fontId="8" fillId="6" borderId="32" xfId="0" applyNumberFormat="1" applyFont="1" applyFill="1" applyBorder="1" applyAlignment="1">
      <alignment horizontal="left" vertical="center"/>
    </xf>
    <xf numFmtId="49" fontId="8" fillId="6" borderId="31" xfId="0" applyNumberFormat="1" applyFont="1" applyFill="1" applyBorder="1" applyAlignment="1">
      <alignment horizontal="left" vertical="center"/>
    </xf>
    <xf numFmtId="49" fontId="7" fillId="6" borderId="30" xfId="0" applyNumberFormat="1" applyFont="1" applyFill="1" applyBorder="1" applyAlignment="1">
      <alignment horizontal="left" vertical="center"/>
    </xf>
    <xf numFmtId="49" fontId="7" fillId="6" borderId="32" xfId="0" applyNumberFormat="1" applyFont="1" applyFill="1" applyBorder="1" applyAlignment="1">
      <alignment horizontal="left" vertical="center"/>
    </xf>
    <xf numFmtId="49" fontId="7" fillId="6" borderId="31" xfId="0" applyNumberFormat="1" applyFont="1" applyFill="1" applyBorder="1" applyAlignment="1">
      <alignment horizontal="left" vertical="center"/>
    </xf>
    <xf numFmtId="164" fontId="20" fillId="0" borderId="38" xfId="0" applyNumberFormat="1" applyFont="1" applyBorder="1" applyAlignment="1">
      <alignment horizontal="center" vertical="center"/>
    </xf>
    <xf numFmtId="164" fontId="20" fillId="0" borderId="29" xfId="0" applyNumberFormat="1" applyFont="1" applyBorder="1" applyAlignment="1">
      <alignment horizontal="center" vertical="center"/>
    </xf>
    <xf numFmtId="0" fontId="8" fillId="2" borderId="30"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31" xfId="0" applyFont="1" applyFill="1" applyBorder="1" applyAlignment="1">
      <alignment horizontal="center" vertical="center"/>
    </xf>
    <xf numFmtId="0" fontId="8" fillId="0" borderId="37"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0" fillId="0" borderId="30" xfId="0" applyBorder="1" applyAlignment="1">
      <alignment horizontal="center"/>
    </xf>
    <xf numFmtId="0" fontId="0" fillId="0" borderId="31" xfId="0" applyBorder="1" applyAlignment="1">
      <alignment horizontal="center"/>
    </xf>
    <xf numFmtId="0" fontId="53" fillId="0" borderId="28" xfId="0" applyFont="1" applyBorder="1" applyAlignment="1">
      <alignment horizontal="right" vertical="center"/>
    </xf>
    <xf numFmtId="0" fontId="53" fillId="0" borderId="29" xfId="0" applyFont="1" applyBorder="1" applyAlignment="1">
      <alignment horizontal="right" vertical="center"/>
    </xf>
    <xf numFmtId="0" fontId="0" fillId="7" borderId="34" xfId="0" applyFill="1" applyBorder="1" applyAlignment="1" applyProtection="1">
      <alignment horizontal="left" vertical="top" wrapText="1"/>
      <protection locked="0"/>
    </xf>
    <xf numFmtId="0" fontId="0" fillId="7" borderId="42" xfId="0" applyFill="1" applyBorder="1" applyAlignment="1" applyProtection="1">
      <alignment horizontal="left" vertical="top" wrapText="1"/>
      <protection locked="0"/>
    </xf>
    <xf numFmtId="0" fontId="0" fillId="7" borderId="35" xfId="0" applyFill="1" applyBorder="1" applyAlignment="1" applyProtection="1">
      <alignment horizontal="left" vertical="top" wrapText="1"/>
      <protection locked="0"/>
    </xf>
    <xf numFmtId="0" fontId="0" fillId="7" borderId="24"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20" xfId="0" applyFill="1" applyBorder="1" applyAlignment="1" applyProtection="1">
      <alignment horizontal="left" vertical="top" wrapText="1"/>
      <protection locked="0"/>
    </xf>
    <xf numFmtId="0" fontId="0" fillId="7" borderId="38" xfId="0" applyFill="1" applyBorder="1" applyAlignment="1" applyProtection="1">
      <alignment horizontal="left" vertical="top" wrapText="1"/>
      <protection locked="0"/>
    </xf>
    <xf numFmtId="0" fontId="0" fillId="7" borderId="28" xfId="0" applyFill="1" applyBorder="1" applyAlignment="1" applyProtection="1">
      <alignment horizontal="left" vertical="top" wrapText="1"/>
      <protection locked="0"/>
    </xf>
    <xf numFmtId="0" fontId="0" fillId="7" borderId="29" xfId="0" applyFill="1" applyBorder="1" applyAlignment="1" applyProtection="1">
      <alignment horizontal="left" vertical="top" wrapText="1"/>
      <protection locked="0"/>
    </xf>
    <xf numFmtId="0" fontId="21" fillId="7" borderId="52" xfId="0" applyFont="1" applyFill="1" applyBorder="1" applyAlignment="1" applyProtection="1">
      <alignment horizontal="left" vertical="center"/>
      <protection locked="0"/>
    </xf>
    <xf numFmtId="0" fontId="21" fillId="7" borderId="9" xfId="0" applyFont="1" applyFill="1" applyBorder="1" applyAlignment="1" applyProtection="1">
      <alignment horizontal="left" vertical="center"/>
      <protection locked="0"/>
    </xf>
    <xf numFmtId="0" fontId="21" fillId="7" borderId="15" xfId="0" applyFont="1" applyFill="1" applyBorder="1" applyAlignment="1" applyProtection="1">
      <alignment horizontal="left" vertical="center"/>
      <protection locked="0"/>
    </xf>
    <xf numFmtId="0" fontId="7" fillId="2" borderId="30" xfId="0" applyFont="1" applyFill="1" applyBorder="1" applyAlignment="1">
      <alignment horizontal="center"/>
    </xf>
    <xf numFmtId="0" fontId="7" fillId="2" borderId="32" xfId="0" applyFont="1" applyFill="1" applyBorder="1" applyAlignment="1">
      <alignment horizontal="center"/>
    </xf>
    <xf numFmtId="0" fontId="7" fillId="2" borderId="31" xfId="0" applyFont="1" applyFill="1" applyBorder="1" applyAlignment="1">
      <alignment horizontal="center"/>
    </xf>
    <xf numFmtId="0" fontId="22" fillId="0" borderId="1" xfId="0" applyFont="1" applyBorder="1" applyAlignment="1">
      <alignment horizontal="left"/>
    </xf>
    <xf numFmtId="0" fontId="22" fillId="0" borderId="2" xfId="0" applyFont="1" applyBorder="1" applyAlignment="1">
      <alignment horizontal="left"/>
    </xf>
    <xf numFmtId="0" fontId="21" fillId="7" borderId="38" xfId="0" applyFont="1" applyFill="1" applyBorder="1" applyAlignment="1" applyProtection="1">
      <alignment horizontal="left"/>
      <protection locked="0"/>
    </xf>
    <xf numFmtId="0" fontId="21" fillId="7" borderId="28" xfId="0" applyFont="1" applyFill="1" applyBorder="1" applyAlignment="1" applyProtection="1">
      <alignment horizontal="left"/>
      <protection locked="0"/>
    </xf>
    <xf numFmtId="0" fontId="22" fillId="0" borderId="65" xfId="0" applyFont="1" applyBorder="1" applyAlignment="1">
      <alignment horizontal="left"/>
    </xf>
    <xf numFmtId="0" fontId="21" fillId="7" borderId="27" xfId="0" applyFont="1" applyFill="1" applyBorder="1" applyAlignment="1" applyProtection="1">
      <alignment horizontal="left"/>
      <protection locked="0"/>
    </xf>
    <xf numFmtId="0" fontId="24" fillId="2" borderId="14" xfId="0" applyFont="1" applyFill="1" applyBorder="1" applyAlignment="1">
      <alignment horizontal="left"/>
    </xf>
    <xf numFmtId="0" fontId="24" fillId="2" borderId="9" xfId="0" applyFont="1" applyFill="1" applyBorder="1" applyAlignment="1">
      <alignment horizontal="left"/>
    </xf>
    <xf numFmtId="0" fontId="24" fillId="2" borderId="15" xfId="0" applyFont="1" applyFill="1" applyBorder="1" applyAlignment="1">
      <alignment horizontal="left"/>
    </xf>
    <xf numFmtId="0" fontId="20" fillId="0" borderId="34" xfId="0" applyFont="1" applyBorder="1" applyAlignment="1">
      <alignment horizontal="center" vertical="center"/>
    </xf>
    <xf numFmtId="0" fontId="20" fillId="0" borderId="38" xfId="0" applyFont="1" applyBorder="1" applyAlignment="1">
      <alignment horizontal="center" vertical="center"/>
    </xf>
    <xf numFmtId="0" fontId="20" fillId="0" borderId="35" xfId="0" applyFont="1" applyBorder="1" applyAlignment="1">
      <alignment horizontal="center" vertical="center" wrapText="1"/>
    </xf>
    <xf numFmtId="0" fontId="20" fillId="0" borderId="29"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9" xfId="0" applyFont="1" applyBorder="1" applyAlignment="1">
      <alignment horizontal="center" vertical="center" wrapText="1"/>
    </xf>
    <xf numFmtId="0" fontId="22" fillId="0" borderId="18" xfId="0" applyFont="1" applyBorder="1" applyAlignment="1">
      <alignment horizontal="center" vertical="top"/>
    </xf>
    <xf numFmtId="0" fontId="22" fillId="0" borderId="20" xfId="0" applyFont="1" applyBorder="1" applyAlignment="1">
      <alignment horizontal="center" vertical="top"/>
    </xf>
    <xf numFmtId="0" fontId="75" fillId="0" borderId="0" xfId="0" applyFont="1" applyAlignment="1">
      <alignment horizontal="right"/>
    </xf>
    <xf numFmtId="0" fontId="26" fillId="0" borderId="2" xfId="0" applyFont="1" applyBorder="1" applyAlignment="1">
      <alignment horizontal="left" vertical="center" wrapText="1"/>
    </xf>
    <xf numFmtId="0" fontId="26" fillId="0" borderId="0" xfId="0" applyFont="1" applyAlignment="1">
      <alignment horizontal="left" vertical="center" wrapText="1"/>
    </xf>
    <xf numFmtId="0" fontId="22" fillId="0" borderId="0" xfId="0" applyFont="1" applyAlignment="1">
      <alignment horizontal="center"/>
    </xf>
    <xf numFmtId="0" fontId="22" fillId="0" borderId="7" xfId="0" applyFont="1" applyBorder="1" applyAlignment="1">
      <alignment horizontal="center"/>
    </xf>
    <xf numFmtId="0" fontId="18" fillId="0" borderId="40" xfId="0" applyFont="1" applyBorder="1" applyAlignment="1">
      <alignment horizontal="center" vertical="center"/>
    </xf>
    <xf numFmtId="0" fontId="18" fillId="0" borderId="43" xfId="0" applyFont="1" applyBorder="1" applyAlignment="1">
      <alignment horizontal="center" vertical="center"/>
    </xf>
    <xf numFmtId="167" fontId="18" fillId="0" borderId="57" xfId="0" applyNumberFormat="1" applyFont="1" applyBorder="1" applyAlignment="1">
      <alignment horizontal="center" vertical="center"/>
    </xf>
    <xf numFmtId="167" fontId="18" fillId="0" borderId="13" xfId="0" applyNumberFormat="1" applyFont="1" applyBorder="1" applyAlignment="1">
      <alignment horizontal="center" vertical="center"/>
    </xf>
    <xf numFmtId="0" fontId="21" fillId="0" borderId="53" xfId="0" applyFont="1" applyBorder="1" applyAlignment="1">
      <alignment horizontal="center" vertical="center"/>
    </xf>
    <xf numFmtId="0" fontId="21" fillId="0" borderId="45" xfId="0" applyFont="1" applyBorder="1" applyAlignment="1">
      <alignment horizontal="center" vertical="center"/>
    </xf>
    <xf numFmtId="0" fontId="18" fillId="0" borderId="69" xfId="0" applyFont="1" applyBorder="1" applyAlignment="1">
      <alignment horizontal="center" vertical="center"/>
    </xf>
    <xf numFmtId="0" fontId="18" fillId="0" borderId="71" xfId="0" applyFont="1" applyBorder="1" applyAlignment="1">
      <alignment horizontal="center" vertical="center"/>
    </xf>
    <xf numFmtId="167" fontId="18" fillId="0" borderId="10" xfId="0" applyNumberFormat="1" applyFont="1" applyBorder="1" applyAlignment="1">
      <alignment horizontal="center" vertical="center"/>
    </xf>
    <xf numFmtId="167" fontId="18" fillId="0" borderId="41" xfId="0" applyNumberFormat="1" applyFont="1" applyBorder="1" applyAlignment="1">
      <alignment horizontal="center" vertical="center"/>
    </xf>
    <xf numFmtId="167" fontId="18" fillId="0" borderId="53" xfId="0" applyNumberFormat="1" applyFont="1" applyBorder="1" applyAlignment="1">
      <alignment horizontal="center" vertical="center"/>
    </xf>
    <xf numFmtId="167" fontId="18" fillId="0" borderId="45" xfId="0" applyNumberFormat="1" applyFont="1" applyBorder="1" applyAlignment="1">
      <alignment horizontal="center" vertical="center"/>
    </xf>
    <xf numFmtId="0" fontId="18" fillId="0" borderId="37" xfId="0" applyFont="1" applyBorder="1" applyAlignment="1">
      <alignment horizontal="center" vertical="center" wrapText="1"/>
    </xf>
    <xf numFmtId="0" fontId="18" fillId="0" borderId="39" xfId="0" applyFont="1" applyBorder="1" applyAlignment="1">
      <alignment horizontal="center" vertical="center" wrapText="1"/>
    </xf>
    <xf numFmtId="0" fontId="21" fillId="0" borderId="63" xfId="0" applyFont="1" applyBorder="1" applyAlignment="1">
      <alignment horizontal="left"/>
    </xf>
    <xf numFmtId="0" fontId="21" fillId="0" borderId="68" xfId="0" applyFont="1" applyBorder="1" applyAlignment="1">
      <alignment horizontal="left"/>
    </xf>
    <xf numFmtId="0" fontId="22" fillId="0" borderId="22" xfId="0" applyFont="1" applyBorder="1" applyAlignment="1">
      <alignment horizontal="left"/>
    </xf>
    <xf numFmtId="0" fontId="22" fillId="0" borderId="64" xfId="0" applyFont="1" applyBorder="1" applyAlignment="1">
      <alignment horizontal="left"/>
    </xf>
    <xf numFmtId="0" fontId="21" fillId="0" borderId="26" xfId="0" applyFont="1" applyBorder="1" applyAlignment="1">
      <alignment horizontal="left"/>
    </xf>
    <xf numFmtId="0" fontId="21" fillId="0" borderId="62" xfId="0" applyFont="1" applyBorder="1" applyAlignment="1">
      <alignment horizontal="left"/>
    </xf>
    <xf numFmtId="0" fontId="0" fillId="0" borderId="72" xfId="0" applyBorder="1" applyAlignment="1">
      <alignment horizontal="center" vertical="center" wrapText="1"/>
    </xf>
    <xf numFmtId="0" fontId="0" fillId="0" borderId="49" xfId="0" applyBorder="1" applyAlignment="1">
      <alignment horizontal="center" vertical="center" wrapText="1"/>
    </xf>
    <xf numFmtId="0" fontId="22" fillId="0" borderId="21" xfId="0" applyFont="1" applyBorder="1" applyAlignment="1">
      <alignment horizontal="left"/>
    </xf>
    <xf numFmtId="0" fontId="8" fillId="2" borderId="69"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71" xfId="0" applyFont="1" applyFill="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26" fillId="0" borderId="8" xfId="0" applyFont="1" applyBorder="1" applyAlignment="1">
      <alignment horizontal="center" vertical="center"/>
    </xf>
    <xf numFmtId="0" fontId="26" fillId="0" borderId="6" xfId="0" applyFont="1" applyBorder="1" applyAlignment="1">
      <alignment horizontal="center" vertical="center"/>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21" fillId="0" borderId="6" xfId="0" applyFont="1" applyBorder="1" applyAlignment="1">
      <alignment horizontal="left"/>
    </xf>
    <xf numFmtId="0" fontId="21" fillId="0" borderId="8" xfId="0" applyFont="1" applyBorder="1" applyAlignment="1">
      <alignment horizontal="left"/>
    </xf>
    <xf numFmtId="0" fontId="21" fillId="0" borderId="23" xfId="0" applyFont="1" applyBorder="1" applyAlignment="1">
      <alignment horizontal="left"/>
    </xf>
    <xf numFmtId="0" fontId="22" fillId="0" borderId="4" xfId="0" applyFont="1" applyBorder="1" applyAlignment="1">
      <alignment horizontal="left"/>
    </xf>
    <xf numFmtId="0" fontId="22" fillId="0" borderId="0" xfId="0" applyFont="1" applyAlignment="1">
      <alignment horizontal="left"/>
    </xf>
    <xf numFmtId="0" fontId="22" fillId="0" borderId="5" xfId="0" applyFont="1" applyBorder="1" applyAlignment="1">
      <alignment horizontal="left"/>
    </xf>
    <xf numFmtId="0" fontId="21" fillId="7" borderId="19" xfId="0" applyFont="1" applyFill="1" applyBorder="1" applyAlignment="1" applyProtection="1">
      <alignment horizontal="left"/>
      <protection locked="0"/>
    </xf>
    <xf numFmtId="0" fontId="21" fillId="7" borderId="7" xfId="0" applyFont="1" applyFill="1" applyBorder="1" applyAlignment="1" applyProtection="1">
      <alignment horizontal="left"/>
      <protection locked="0"/>
    </xf>
    <xf numFmtId="14" fontId="21" fillId="7" borderId="4" xfId="0" applyNumberFormat="1" applyFont="1" applyFill="1" applyBorder="1" applyAlignment="1" applyProtection="1">
      <alignment horizontal="center" vertical="center"/>
      <protection locked="0"/>
    </xf>
    <xf numFmtId="14" fontId="21" fillId="7" borderId="20" xfId="0" applyNumberFormat="1" applyFont="1" applyFill="1" applyBorder="1" applyAlignment="1" applyProtection="1">
      <alignment horizontal="center" vertical="center"/>
      <protection locked="0"/>
    </xf>
    <xf numFmtId="0" fontId="7" fillId="2" borderId="34"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1" xfId="0" applyFont="1" applyFill="1" applyBorder="1" applyAlignment="1">
      <alignment horizontal="center" vertical="center"/>
    </xf>
    <xf numFmtId="0" fontId="21" fillId="0" borderId="19" xfId="0" applyFont="1" applyBorder="1" applyAlignment="1">
      <alignment horizontal="left"/>
    </xf>
    <xf numFmtId="0" fontId="21" fillId="0" borderId="67" xfId="0" applyFont="1" applyBorder="1" applyAlignment="1">
      <alignment horizontal="left"/>
    </xf>
    <xf numFmtId="0" fontId="21" fillId="0" borderId="25" xfId="0" applyFont="1" applyBorder="1" applyAlignment="1">
      <alignment horizontal="left"/>
    </xf>
    <xf numFmtId="0" fontId="24" fillId="2" borderId="34" xfId="0" applyFont="1" applyFill="1" applyBorder="1" applyAlignment="1">
      <alignment horizontal="left" vertical="center"/>
    </xf>
    <xf numFmtId="0" fontId="24" fillId="2" borderId="42" xfId="0" applyFont="1" applyFill="1" applyBorder="1" applyAlignment="1">
      <alignment horizontal="left" vertical="center"/>
    </xf>
    <xf numFmtId="0" fontId="24" fillId="2" borderId="35" xfId="0" applyFont="1" applyFill="1" applyBorder="1" applyAlignment="1">
      <alignment horizontal="left" vertical="center"/>
    </xf>
    <xf numFmtId="0" fontId="7" fillId="2" borderId="30" xfId="0" applyFont="1" applyFill="1" applyBorder="1" applyAlignment="1">
      <alignment horizontal="center" vertical="center"/>
    </xf>
    <xf numFmtId="0" fontId="0" fillId="2" borderId="32" xfId="0" applyFill="1" applyBorder="1" applyAlignment="1">
      <alignment horizontal="center" vertical="center"/>
    </xf>
    <xf numFmtId="0" fontId="0" fillId="2" borderId="31" xfId="0" applyFill="1" applyBorder="1" applyAlignment="1">
      <alignment horizontal="center" vertical="center"/>
    </xf>
    <xf numFmtId="0" fontId="26" fillId="0" borderId="40"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0" xfId="0" applyFont="1" applyBorder="1" applyAlignment="1">
      <alignment horizontal="center" vertical="center"/>
    </xf>
    <xf numFmtId="0" fontId="26" fillId="0" borderId="49" xfId="0" applyFont="1" applyBorder="1" applyAlignment="1">
      <alignment horizontal="center" vertical="center"/>
    </xf>
    <xf numFmtId="0" fontId="26" fillId="0" borderId="43" xfId="0" applyFont="1" applyBorder="1" applyAlignment="1">
      <alignment horizontal="center" vertical="center"/>
    </xf>
    <xf numFmtId="0" fontId="0" fillId="0" borderId="40" xfId="0" applyBorder="1" applyAlignment="1">
      <alignment horizontal="center" vertical="center" wrapText="1"/>
    </xf>
    <xf numFmtId="0" fontId="0" fillId="0" borderId="43" xfId="0" applyBorder="1" applyAlignment="1">
      <alignment horizontal="center" vertical="center" wrapText="1"/>
    </xf>
    <xf numFmtId="164" fontId="0" fillId="0" borderId="72" xfId="0" applyNumberFormat="1" applyBorder="1" applyAlignment="1">
      <alignment horizontal="center" vertical="center" wrapText="1"/>
    </xf>
    <xf numFmtId="164" fontId="0" fillId="0" borderId="49" xfId="0" applyNumberFormat="1" applyBorder="1" applyAlignment="1">
      <alignment horizontal="center" vertical="center" wrapText="1"/>
    </xf>
    <xf numFmtId="175" fontId="21" fillId="7" borderId="6" xfId="0" applyNumberFormat="1" applyFont="1" applyFill="1" applyBorder="1" applyAlignment="1" applyProtection="1">
      <alignment horizontal="left"/>
      <protection locked="0"/>
    </xf>
    <xf numFmtId="175" fontId="21" fillId="7" borderId="23" xfId="0" applyNumberFormat="1" applyFont="1" applyFill="1" applyBorder="1" applyAlignment="1" applyProtection="1">
      <alignment horizontal="left"/>
      <protection locked="0"/>
    </xf>
    <xf numFmtId="0" fontId="22" fillId="0" borderId="3" xfId="0" applyFont="1" applyBorder="1" applyAlignment="1">
      <alignment horizontal="left"/>
    </xf>
    <xf numFmtId="0" fontId="22" fillId="0" borderId="18" xfId="0" applyFont="1" applyBorder="1" applyAlignment="1">
      <alignment horizontal="left"/>
    </xf>
    <xf numFmtId="0" fontId="79" fillId="7" borderId="6" xfId="4" applyFont="1" applyFill="1" applyBorder="1" applyAlignment="1" applyProtection="1">
      <alignment horizontal="left"/>
      <protection locked="0"/>
    </xf>
    <xf numFmtId="0" fontId="79" fillId="7" borderId="7" xfId="4" applyFont="1" applyFill="1" applyBorder="1" applyAlignment="1" applyProtection="1">
      <alignment horizontal="left"/>
      <protection locked="0"/>
    </xf>
    <xf numFmtId="0" fontId="79" fillId="7" borderId="8" xfId="4" applyFont="1" applyFill="1" applyBorder="1" applyAlignment="1" applyProtection="1">
      <alignment horizontal="left"/>
      <protection locked="0"/>
    </xf>
    <xf numFmtId="0" fontId="20" fillId="8" borderId="34" xfId="0" applyFont="1" applyFill="1" applyBorder="1" applyAlignment="1">
      <alignment horizontal="left" vertical="center" wrapText="1"/>
    </xf>
    <xf numFmtId="0" fontId="20" fillId="8" borderId="42" xfId="0" applyFont="1" applyFill="1" applyBorder="1" applyAlignment="1">
      <alignment horizontal="left" vertical="center" wrapText="1"/>
    </xf>
    <xf numFmtId="0" fontId="20" fillId="8" borderId="35" xfId="0" applyFont="1" applyFill="1" applyBorder="1" applyAlignment="1">
      <alignment horizontal="left" vertical="center" wrapText="1"/>
    </xf>
    <xf numFmtId="0" fontId="20" fillId="8" borderId="24" xfId="0" applyFont="1" applyFill="1" applyBorder="1" applyAlignment="1">
      <alignment horizontal="left" vertical="center" wrapText="1"/>
    </xf>
    <xf numFmtId="0" fontId="20" fillId="8" borderId="0" xfId="0" applyFont="1" applyFill="1" applyAlignment="1">
      <alignment horizontal="left" vertical="center" wrapText="1"/>
    </xf>
    <xf numFmtId="0" fontId="20" fillId="8" borderId="20" xfId="0" applyFont="1" applyFill="1" applyBorder="1" applyAlignment="1">
      <alignment horizontal="left" vertical="center" wrapText="1"/>
    </xf>
    <xf numFmtId="0" fontId="20" fillId="8" borderId="19" xfId="0" applyFont="1" applyFill="1" applyBorder="1" applyAlignment="1">
      <alignment horizontal="left" vertical="center" wrapText="1"/>
    </xf>
    <xf numFmtId="0" fontId="20" fillId="8" borderId="7" xfId="0" applyFont="1" applyFill="1" applyBorder="1" applyAlignment="1">
      <alignment horizontal="left" vertical="center" wrapText="1"/>
    </xf>
    <xf numFmtId="0" fontId="20" fillId="8" borderId="23" xfId="0" applyFont="1" applyFill="1" applyBorder="1" applyAlignment="1">
      <alignment horizontal="left" vertical="center" wrapText="1"/>
    </xf>
    <xf numFmtId="0" fontId="21" fillId="7" borderId="24" xfId="0" applyFont="1" applyFill="1" applyBorder="1" applyAlignment="1" applyProtection="1">
      <alignment horizontal="left"/>
      <protection locked="0"/>
    </xf>
    <xf numFmtId="0" fontId="21" fillId="7" borderId="0" xfId="0" applyFont="1" applyFill="1" applyAlignment="1" applyProtection="1">
      <alignment horizontal="left"/>
      <protection locked="0"/>
    </xf>
    <xf numFmtId="0" fontId="21" fillId="7" borderId="5"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67" xfId="0" applyFont="1" applyFill="1" applyBorder="1" applyAlignment="1" applyProtection="1">
      <alignment horizontal="left"/>
      <protection locked="0"/>
    </xf>
    <xf numFmtId="0" fontId="21" fillId="7" borderId="63" xfId="0" applyFont="1" applyFill="1" applyBorder="1" applyAlignment="1" applyProtection="1">
      <alignment horizontal="left"/>
      <protection locked="0"/>
    </xf>
    <xf numFmtId="0" fontId="21" fillId="7" borderId="6" xfId="0" applyFont="1" applyFill="1" applyBorder="1" applyAlignment="1" applyProtection="1">
      <alignment horizontal="left"/>
      <protection locked="0"/>
    </xf>
    <xf numFmtId="0" fontId="21" fillId="7" borderId="23" xfId="0" applyFont="1" applyFill="1" applyBorder="1" applyAlignment="1" applyProtection="1">
      <alignment horizontal="left"/>
      <protection locked="0"/>
    </xf>
    <xf numFmtId="0" fontId="21" fillId="7" borderId="25" xfId="0" applyFont="1" applyFill="1" applyBorder="1" applyAlignment="1" applyProtection="1">
      <alignment horizontal="left"/>
      <protection locked="0"/>
    </xf>
    <xf numFmtId="0" fontId="21" fillId="7" borderId="26" xfId="0" applyFont="1" applyFill="1" applyBorder="1" applyAlignment="1" applyProtection="1">
      <alignment horizontal="left"/>
      <protection locked="0"/>
    </xf>
    <xf numFmtId="0" fontId="21" fillId="7" borderId="62"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0" fontId="24" fillId="7" borderId="38" xfId="0" applyFont="1" applyFill="1" applyBorder="1" applyProtection="1">
      <protection locked="0"/>
    </xf>
    <xf numFmtId="0" fontId="55" fillId="7" borderId="28" xfId="0" applyFont="1" applyFill="1" applyBorder="1" applyProtection="1">
      <protection locked="0"/>
    </xf>
    <xf numFmtId="0" fontId="21" fillId="7" borderId="66" xfId="0" applyFont="1" applyFill="1" applyBorder="1" applyAlignment="1" applyProtection="1">
      <alignment horizontal="left"/>
      <protection locked="0"/>
    </xf>
    <xf numFmtId="171" fontId="21" fillId="7" borderId="58" xfId="0" applyNumberFormat="1" applyFont="1" applyFill="1" applyBorder="1" applyAlignment="1" applyProtection="1">
      <alignment horizontal="left" vertical="center"/>
      <protection locked="0"/>
    </xf>
    <xf numFmtId="171" fontId="21" fillId="7" borderId="51" xfId="0" applyNumberFormat="1" applyFont="1" applyFill="1" applyBorder="1" applyAlignment="1" applyProtection="1">
      <alignment horizontal="left" vertical="center"/>
      <protection locked="0"/>
    </xf>
    <xf numFmtId="0" fontId="22" fillId="0" borderId="52" xfId="0" applyFont="1" applyBorder="1" applyAlignment="1">
      <alignment horizontal="left"/>
    </xf>
    <xf numFmtId="0" fontId="22" fillId="0" borderId="9" xfId="0" applyFont="1" applyBorder="1" applyAlignment="1">
      <alignment horizontal="left"/>
    </xf>
    <xf numFmtId="0" fontId="22" fillId="0" borderId="15" xfId="0" applyFont="1" applyBorder="1" applyAlignment="1">
      <alignment horizontal="left"/>
    </xf>
    <xf numFmtId="0" fontId="0" fillId="0" borderId="18" xfId="0" applyBorder="1" applyAlignment="1">
      <alignment horizontal="center" vertical="center" wrapText="1"/>
    </xf>
    <xf numFmtId="0" fontId="0" fillId="0" borderId="29" xfId="0" applyBorder="1" applyAlignment="1">
      <alignment horizontal="center" vertical="center" wrapText="1"/>
    </xf>
    <xf numFmtId="0" fontId="0" fillId="0" borderId="18" xfId="0" applyBorder="1" applyAlignment="1">
      <alignment horizontal="center" vertical="center"/>
    </xf>
    <xf numFmtId="0" fontId="0" fillId="0" borderId="29" xfId="0" applyBorder="1" applyAlignment="1">
      <alignment horizontal="center" vertical="center"/>
    </xf>
    <xf numFmtId="0" fontId="22" fillId="0" borderId="51" xfId="0" applyFont="1" applyBorder="1" applyAlignment="1">
      <alignment horizontal="left" vertical="center"/>
    </xf>
    <xf numFmtId="0" fontId="20" fillId="7" borderId="51" xfId="0" applyFont="1" applyFill="1" applyBorder="1" applyAlignment="1">
      <alignment horizontal="center"/>
    </xf>
    <xf numFmtId="0" fontId="22" fillId="0" borderId="14"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21" fillId="7" borderId="14" xfId="0" applyFont="1" applyFill="1" applyBorder="1" applyAlignment="1" applyProtection="1">
      <alignment horizontal="left"/>
      <protection locked="0"/>
    </xf>
    <xf numFmtId="0" fontId="21" fillId="7" borderId="50" xfId="0" applyFont="1" applyFill="1" applyBorder="1" applyAlignment="1" applyProtection="1">
      <alignment horizontal="left"/>
      <protection locked="0"/>
    </xf>
    <xf numFmtId="14" fontId="21" fillId="7" borderId="6" xfId="0" applyNumberFormat="1" applyFont="1" applyFill="1" applyBorder="1" applyAlignment="1" applyProtection="1">
      <alignment horizontal="center"/>
      <protection locked="0"/>
    </xf>
    <xf numFmtId="14" fontId="21" fillId="7" borderId="23" xfId="0" applyNumberFormat="1" applyFont="1" applyFill="1" applyBorder="1" applyAlignment="1" applyProtection="1">
      <alignment horizontal="center"/>
      <protection locked="0"/>
    </xf>
    <xf numFmtId="0" fontId="25" fillId="0" borderId="25" xfId="0" applyFont="1" applyBorder="1" applyAlignment="1">
      <alignment horizontal="center" vertical="center"/>
    </xf>
    <xf numFmtId="0" fontId="25" fillId="0" borderId="62" xfId="0" applyFont="1" applyBorder="1" applyAlignment="1">
      <alignment horizontal="center" vertical="center"/>
    </xf>
    <xf numFmtId="0" fontId="22" fillId="0" borderId="58" xfId="0" applyFont="1" applyBorder="1" applyAlignment="1">
      <alignment horizontal="left"/>
    </xf>
    <xf numFmtId="0" fontId="22" fillId="0" borderId="51" xfId="0" applyFont="1" applyBorder="1" applyAlignment="1">
      <alignment horizontal="left"/>
    </xf>
    <xf numFmtId="0" fontId="7" fillId="0" borderId="40" xfId="0" applyFont="1" applyBorder="1" applyAlignment="1">
      <alignment horizontal="center" vertical="center"/>
    </xf>
    <xf numFmtId="0" fontId="7" fillId="0" borderId="74" xfId="0" applyFont="1" applyBorder="1" applyAlignment="1">
      <alignment horizontal="center" vertical="center"/>
    </xf>
    <xf numFmtId="0" fontId="8" fillId="0" borderId="40" xfId="0" applyFont="1" applyBorder="1" applyAlignment="1">
      <alignment horizontal="center" vertical="center" wrapText="1"/>
    </xf>
    <xf numFmtId="0" fontId="8" fillId="0" borderId="43" xfId="0" applyFont="1" applyBorder="1" applyAlignment="1">
      <alignment horizontal="center" vertical="center" wrapText="1"/>
    </xf>
    <xf numFmtId="164" fontId="8" fillId="0" borderId="35" xfId="0" applyNumberFormat="1" applyFont="1" applyBorder="1" applyAlignment="1">
      <alignment horizontal="center" vertical="center" wrapText="1"/>
    </xf>
    <xf numFmtId="164" fontId="8" fillId="0" borderId="29" xfId="0" applyNumberFormat="1" applyFont="1" applyBorder="1" applyAlignment="1">
      <alignment horizontal="center" vertical="center" wrapText="1"/>
    </xf>
    <xf numFmtId="0" fontId="0" fillId="0" borderId="69" xfId="0" applyBorder="1" applyAlignment="1">
      <alignment horizontal="center" vertical="center"/>
    </xf>
    <xf numFmtId="0" fontId="0" fillId="0" borderId="71" xfId="0" applyBorder="1" applyAlignment="1">
      <alignment horizontal="center" vertical="center"/>
    </xf>
    <xf numFmtId="0" fontId="0" fillId="0" borderId="30" xfId="0" applyBorder="1" applyAlignment="1">
      <alignment horizontal="center" vertical="center"/>
    </xf>
    <xf numFmtId="0" fontId="7" fillId="0" borderId="30" xfId="0" applyFont="1" applyBorder="1" applyAlignment="1">
      <alignment horizontal="center"/>
    </xf>
    <xf numFmtId="0" fontId="7" fillId="0" borderId="31" xfId="0" applyFont="1" applyBorder="1" applyAlignment="1">
      <alignment horizontal="center"/>
    </xf>
    <xf numFmtId="0" fontId="0" fillId="0" borderId="49" xfId="0" applyBorder="1" applyAlignment="1">
      <alignment horizontal="center" vertical="center"/>
    </xf>
    <xf numFmtId="0" fontId="0" fillId="0" borderId="43" xfId="0" applyBorder="1" applyAlignment="1">
      <alignment horizontal="center" vertical="center"/>
    </xf>
    <xf numFmtId="0" fontId="22" fillId="0" borderId="14" xfId="0" applyFont="1" applyBorder="1" applyAlignment="1">
      <alignment horizontal="left"/>
    </xf>
    <xf numFmtId="0" fontId="22" fillId="0" borderId="50" xfId="0" applyFont="1" applyBorder="1" applyAlignment="1">
      <alignment horizontal="left"/>
    </xf>
    <xf numFmtId="0" fontId="25" fillId="0" borderId="30" xfId="0" applyFont="1" applyBorder="1" applyAlignment="1">
      <alignment horizontal="center" vertical="center"/>
    </xf>
    <xf numFmtId="0" fontId="25" fillId="0" borderId="31" xfId="0" applyFont="1" applyBorder="1" applyAlignment="1">
      <alignment horizontal="center" vertical="center"/>
    </xf>
    <xf numFmtId="164" fontId="0" fillId="0" borderId="43" xfId="0" applyNumberFormat="1" applyBorder="1" applyAlignment="1">
      <alignment horizontal="center" vertical="center" wrapText="1"/>
    </xf>
    <xf numFmtId="0" fontId="31" fillId="0" borderId="67" xfId="0" applyFont="1" applyBorder="1" applyAlignment="1">
      <alignment horizontal="left" vertical="center"/>
    </xf>
    <xf numFmtId="0" fontId="31" fillId="0" borderId="63" xfId="0" applyFont="1" applyBorder="1" applyAlignment="1">
      <alignment horizontal="left" vertical="center"/>
    </xf>
    <xf numFmtId="0" fontId="31" fillId="0" borderId="17" xfId="0" applyFont="1" applyBorder="1" applyAlignment="1">
      <alignment horizontal="left" vertical="center"/>
    </xf>
    <xf numFmtId="0" fontId="31" fillId="0" borderId="78" xfId="0" applyFont="1" applyBorder="1" applyAlignment="1">
      <alignment horizontal="left" vertical="center"/>
    </xf>
    <xf numFmtId="0" fontId="32" fillId="2" borderId="11" xfId="0" applyFont="1" applyFill="1" applyBorder="1" applyAlignment="1">
      <alignment horizontal="right" vertical="center"/>
    </xf>
    <xf numFmtId="0" fontId="32" fillId="2" borderId="41" xfId="0" applyFont="1" applyFill="1" applyBorder="1" applyAlignment="1">
      <alignment horizontal="right" vertical="center"/>
    </xf>
    <xf numFmtId="0" fontId="29" fillId="2" borderId="10" xfId="0" applyFont="1" applyFill="1" applyBorder="1" applyAlignment="1">
      <alignment horizontal="left" vertical="center"/>
    </xf>
    <xf numFmtId="0" fontId="29" fillId="2" borderId="11" xfId="0" applyFont="1" applyFill="1" applyBorder="1" applyAlignment="1">
      <alignment horizontal="left" vertical="center"/>
    </xf>
    <xf numFmtId="0" fontId="29" fillId="2" borderId="30" xfId="0" applyFont="1" applyFill="1" applyBorder="1" applyAlignment="1" applyProtection="1">
      <alignment horizontal="center"/>
      <protection hidden="1"/>
    </xf>
    <xf numFmtId="0" fontId="29" fillId="2" borderId="31" xfId="0" applyFont="1" applyFill="1" applyBorder="1" applyAlignment="1" applyProtection="1">
      <alignment horizontal="center"/>
      <protection hidden="1"/>
    </xf>
    <xf numFmtId="0" fontId="33" fillId="0" borderId="65" xfId="0" applyFont="1" applyBorder="1" applyAlignment="1">
      <alignment horizontal="left"/>
    </xf>
    <xf numFmtId="0" fontId="33" fillId="0" borderId="2" xfId="0" applyFont="1" applyBorder="1" applyAlignment="1">
      <alignment horizontal="left"/>
    </xf>
    <xf numFmtId="0" fontId="33" fillId="0" borderId="1" xfId="0" applyFont="1" applyBorder="1" applyAlignment="1">
      <alignment horizontal="left"/>
    </xf>
    <xf numFmtId="0" fontId="33" fillId="0" borderId="4" xfId="0" applyFont="1" applyBorder="1" applyAlignment="1">
      <alignment horizontal="left"/>
    </xf>
    <xf numFmtId="0" fontId="33" fillId="0" borderId="20" xfId="0" applyFont="1" applyBorder="1" applyAlignment="1">
      <alignment horizontal="left"/>
    </xf>
    <xf numFmtId="0" fontId="29" fillId="0" borderId="19" xfId="0" applyFont="1" applyBorder="1" applyAlignment="1">
      <alignment horizontal="left"/>
    </xf>
    <xf numFmtId="0" fontId="29" fillId="0" borderId="7" xfId="0" applyFont="1" applyBorder="1" applyAlignment="1">
      <alignment horizontal="left"/>
    </xf>
    <xf numFmtId="0" fontId="29" fillId="0" borderId="24" xfId="0" applyFont="1" applyBorder="1" applyAlignment="1">
      <alignment horizontal="left"/>
    </xf>
    <xf numFmtId="0" fontId="29" fillId="0" borderId="0" xfId="0" applyFont="1" applyAlignment="1">
      <alignment horizontal="left"/>
    </xf>
    <xf numFmtId="0" fontId="29" fillId="0" borderId="4" xfId="0" applyFont="1" applyBorder="1" applyAlignment="1">
      <alignment horizontal="left"/>
    </xf>
    <xf numFmtId="0" fontId="29" fillId="0" borderId="20" xfId="0" applyFont="1" applyBorder="1" applyAlignment="1">
      <alignment horizontal="left"/>
    </xf>
    <xf numFmtId="0" fontId="29" fillId="0" borderId="4" xfId="0" applyFont="1" applyBorder="1"/>
    <xf numFmtId="0" fontId="29" fillId="0" borderId="20" xfId="0" applyFont="1" applyBorder="1"/>
    <xf numFmtId="0" fontId="31" fillId="0" borderId="0" xfId="0" applyFont="1" applyAlignment="1">
      <alignment horizontal="center" vertical="center" wrapText="1"/>
    </xf>
    <xf numFmtId="0" fontId="33" fillId="0" borderId="18" xfId="0" applyFont="1" applyBorder="1" applyAlignment="1">
      <alignment horizontal="left"/>
    </xf>
    <xf numFmtId="0" fontId="29" fillId="0" borderId="38" xfId="0" applyFont="1" applyBorder="1" applyAlignment="1">
      <alignment horizontal="left"/>
    </xf>
    <xf numFmtId="0" fontId="29" fillId="0" borderId="28" xfId="0" applyFont="1" applyBorder="1" applyAlignment="1">
      <alignment horizontal="left"/>
    </xf>
    <xf numFmtId="0" fontId="29" fillId="0" borderId="27" xfId="0" applyFont="1" applyBorder="1" applyAlignment="1">
      <alignment horizontal="left"/>
    </xf>
    <xf numFmtId="0" fontId="29" fillId="0" borderId="29" xfId="0" applyFont="1" applyBorder="1" applyAlignment="1">
      <alignment horizontal="left"/>
    </xf>
    <xf numFmtId="0" fontId="29" fillId="2" borderId="30" xfId="0" applyFont="1" applyFill="1" applyBorder="1" applyAlignment="1" applyProtection="1">
      <alignment horizontal="center" vertical="center"/>
      <protection hidden="1"/>
    </xf>
    <xf numFmtId="0" fontId="29" fillId="2" borderId="32" xfId="0" applyFont="1" applyFill="1" applyBorder="1" applyAlignment="1" applyProtection="1">
      <alignment horizontal="center" vertical="center"/>
      <protection hidden="1"/>
    </xf>
    <xf numFmtId="0" fontId="29" fillId="2" borderId="32" xfId="0" applyFont="1" applyFill="1" applyBorder="1" applyAlignment="1" applyProtection="1">
      <alignment horizontal="center"/>
      <protection hidden="1"/>
    </xf>
    <xf numFmtId="0" fontId="29" fillId="2" borderId="31" xfId="0" applyFont="1" applyFill="1" applyBorder="1" applyAlignment="1" applyProtection="1">
      <alignment horizontal="center" vertical="center"/>
      <protection hidden="1"/>
    </xf>
    <xf numFmtId="0" fontId="31" fillId="0" borderId="30" xfId="0" applyFont="1" applyBorder="1" applyAlignment="1" applyProtection="1">
      <alignment horizontal="center" vertical="center" wrapText="1"/>
      <protection hidden="1"/>
    </xf>
    <xf numFmtId="0" fontId="31" fillId="0" borderId="31" xfId="0" applyFont="1" applyBorder="1" applyAlignment="1" applyProtection="1">
      <alignment horizontal="center" vertical="center" wrapText="1"/>
      <protection hidden="1"/>
    </xf>
    <xf numFmtId="0" fontId="31" fillId="0" borderId="69" xfId="0" applyFont="1" applyBorder="1" applyAlignment="1" applyProtection="1">
      <alignment horizontal="center" vertical="center" wrapText="1"/>
      <protection hidden="1"/>
    </xf>
    <xf numFmtId="0" fontId="31" fillId="0" borderId="71" xfId="0" applyFont="1" applyBorder="1" applyAlignment="1" applyProtection="1">
      <alignment horizontal="center" vertical="center" wrapText="1"/>
      <protection hidden="1"/>
    </xf>
    <xf numFmtId="0" fontId="29" fillId="7" borderId="67" xfId="0" applyFont="1" applyFill="1" applyBorder="1" applyAlignment="1" applyProtection="1">
      <alignment horizontal="center" vertical="center" wrapText="1"/>
      <protection locked="0"/>
    </xf>
    <xf numFmtId="0" fontId="29" fillId="7" borderId="68" xfId="0" applyFont="1" applyFill="1" applyBorder="1" applyAlignment="1" applyProtection="1">
      <alignment horizontal="center" vertical="center" wrapText="1"/>
      <protection locked="0"/>
    </xf>
    <xf numFmtId="0" fontId="83" fillId="0" borderId="0" xfId="0" applyFont="1" applyAlignment="1" applyProtection="1">
      <alignment horizontal="center" vertical="center"/>
      <protection hidden="1"/>
    </xf>
    <xf numFmtId="0" fontId="29" fillId="7" borderId="60" xfId="0" applyFont="1" applyFill="1" applyBorder="1" applyAlignment="1" applyProtection="1">
      <alignment horizontal="center" vertical="center" wrapText="1"/>
      <protection locked="0"/>
    </xf>
    <xf numFmtId="0" fontId="29" fillId="7" borderId="61" xfId="0" applyFont="1" applyFill="1" applyBorder="1" applyAlignment="1" applyProtection="1">
      <alignment horizontal="center" vertical="center" wrapText="1"/>
      <protection locked="0"/>
    </xf>
    <xf numFmtId="0" fontId="29" fillId="7" borderId="58" xfId="0" applyFont="1" applyFill="1" applyBorder="1" applyAlignment="1" applyProtection="1">
      <alignment horizontal="center" vertical="center" wrapText="1"/>
      <protection locked="0"/>
    </xf>
    <xf numFmtId="0" fontId="29" fillId="7" borderId="59" xfId="0" applyFont="1" applyFill="1" applyBorder="1" applyAlignment="1" applyProtection="1">
      <alignment horizontal="center" vertical="center" wrapText="1"/>
      <protection locked="0"/>
    </xf>
    <xf numFmtId="0" fontId="29" fillId="6" borderId="30" xfId="0" applyFont="1" applyFill="1" applyBorder="1" applyAlignment="1">
      <alignment horizontal="right" vertical="center"/>
    </xf>
    <xf numFmtId="0" fontId="29" fillId="6" borderId="31" xfId="0" applyFont="1" applyFill="1" applyBorder="1" applyAlignment="1">
      <alignment horizontal="right" vertical="center"/>
    </xf>
    <xf numFmtId="0" fontId="31" fillId="0" borderId="7" xfId="0" applyFont="1" applyBorder="1" applyAlignment="1">
      <alignment horizontal="center" vertical="center"/>
    </xf>
    <xf numFmtId="0" fontId="31" fillId="0" borderId="9" xfId="0" applyFont="1" applyBorder="1" applyAlignment="1">
      <alignment horizontal="center" vertical="center"/>
    </xf>
    <xf numFmtId="0" fontId="29" fillId="2" borderId="30"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31" xfId="0" applyFont="1" applyFill="1" applyBorder="1" applyAlignment="1">
      <alignment horizontal="center" vertical="center"/>
    </xf>
    <xf numFmtId="49" fontId="29" fillId="6" borderId="30" xfId="0" applyNumberFormat="1" applyFont="1" applyFill="1" applyBorder="1" applyAlignment="1">
      <alignment horizontal="right" vertical="center"/>
    </xf>
    <xf numFmtId="49" fontId="29" fillId="6" borderId="31" xfId="0" applyNumberFormat="1" applyFont="1" applyFill="1" applyBorder="1" applyAlignment="1">
      <alignment horizontal="right" vertical="center"/>
    </xf>
    <xf numFmtId="0" fontId="29" fillId="0" borderId="0" xfId="0" applyFont="1" applyAlignment="1">
      <alignment horizontal="center" wrapText="1"/>
    </xf>
    <xf numFmtId="0" fontId="46" fillId="0" borderId="0" xfId="0" applyFont="1" applyAlignment="1">
      <alignment horizontal="center" wrapText="1"/>
    </xf>
    <xf numFmtId="0" fontId="29" fillId="7" borderId="38" xfId="0" applyFont="1" applyFill="1" applyBorder="1" applyAlignment="1" applyProtection="1">
      <alignment horizontal="center" vertical="center"/>
      <protection locked="0"/>
    </xf>
    <xf numFmtId="0" fontId="29" fillId="7" borderId="29" xfId="0" applyFont="1" applyFill="1" applyBorder="1" applyAlignment="1" applyProtection="1">
      <alignment horizontal="center" vertical="center"/>
      <protection locked="0"/>
    </xf>
    <xf numFmtId="0" fontId="31" fillId="0" borderId="42" xfId="0" applyFont="1" applyBorder="1" applyAlignment="1">
      <alignment horizontal="center" vertical="center"/>
    </xf>
    <xf numFmtId="0" fontId="31" fillId="0" borderId="35" xfId="0" applyFont="1" applyBorder="1" applyAlignment="1">
      <alignment horizontal="center" vertical="center"/>
    </xf>
    <xf numFmtId="0" fontId="29" fillId="7" borderId="24" xfId="0" applyFont="1" applyFill="1" applyBorder="1" applyAlignment="1" applyProtection="1">
      <alignment horizontal="center" vertical="center"/>
      <protection locked="0"/>
    </xf>
    <xf numFmtId="0" fontId="29" fillId="7" borderId="0" xfId="0" applyFont="1" applyFill="1" applyAlignment="1" applyProtection="1">
      <alignment horizontal="center" vertical="center"/>
      <protection locked="0"/>
    </xf>
    <xf numFmtId="164" fontId="29" fillId="7" borderId="0" xfId="0" applyNumberFormat="1" applyFont="1" applyFill="1" applyAlignment="1" applyProtection="1">
      <alignment horizontal="center" vertical="center"/>
      <protection locked="0"/>
    </xf>
    <xf numFmtId="164" fontId="29" fillId="7" borderId="20" xfId="0" applyNumberFormat="1" applyFont="1" applyFill="1" applyBorder="1" applyAlignment="1" applyProtection="1">
      <alignment horizontal="center" vertical="center"/>
      <protection locked="0"/>
    </xf>
    <xf numFmtId="0" fontId="29" fillId="7" borderId="34" xfId="0" applyFont="1" applyFill="1" applyBorder="1" applyAlignment="1" applyProtection="1">
      <alignment horizontal="center" vertical="center"/>
      <protection locked="0"/>
    </xf>
    <xf numFmtId="0" fontId="29" fillId="7" borderId="35" xfId="0" applyFont="1" applyFill="1" applyBorder="1" applyAlignment="1" applyProtection="1">
      <alignment horizontal="center" vertical="center"/>
      <protection locked="0"/>
    </xf>
    <xf numFmtId="0" fontId="29" fillId="7" borderId="20" xfId="0" applyFont="1" applyFill="1" applyBorder="1" applyAlignment="1" applyProtection="1">
      <alignment horizontal="center" vertical="center"/>
      <protection locked="0"/>
    </xf>
    <xf numFmtId="0" fontId="31" fillId="0" borderId="34" xfId="0" applyFont="1" applyBorder="1" applyAlignment="1">
      <alignment horizontal="center" vertical="center"/>
    </xf>
    <xf numFmtId="0" fontId="29" fillId="0" borderId="24" xfId="0" applyFont="1" applyBorder="1" applyAlignment="1">
      <alignment horizontal="center" vertical="center" wrapText="1"/>
    </xf>
    <xf numFmtId="0" fontId="29" fillId="0" borderId="0" xfId="0" applyFont="1" applyAlignment="1">
      <alignment horizontal="center" vertical="center" wrapText="1"/>
    </xf>
    <xf numFmtId="0" fontId="46" fillId="0" borderId="34" xfId="0" applyFont="1" applyBorder="1" applyAlignment="1">
      <alignment horizontal="center"/>
    </xf>
    <xf numFmtId="0" fontId="46" fillId="0" borderId="35" xfId="0" applyFont="1" applyBorder="1" applyAlignment="1">
      <alignment horizontal="center"/>
    </xf>
    <xf numFmtId="0" fontId="29" fillId="7" borderId="28" xfId="0" applyFont="1" applyFill="1" applyBorder="1" applyAlignment="1" applyProtection="1">
      <alignment horizontal="center" vertical="center"/>
      <protection locked="0"/>
    </xf>
    <xf numFmtId="164" fontId="29" fillId="7" borderId="28" xfId="0" applyNumberFormat="1" applyFont="1" applyFill="1" applyBorder="1" applyAlignment="1" applyProtection="1">
      <alignment horizontal="center" vertical="center"/>
      <protection locked="0"/>
    </xf>
    <xf numFmtId="164" fontId="29" fillId="7" borderId="29" xfId="0" applyNumberFormat="1" applyFont="1" applyFill="1" applyBorder="1" applyAlignment="1" applyProtection="1">
      <alignment horizontal="center" vertical="center"/>
      <protection locked="0"/>
    </xf>
    <xf numFmtId="0" fontId="29" fillId="7" borderId="42" xfId="0" applyFont="1" applyFill="1" applyBorder="1" applyAlignment="1" applyProtection="1">
      <alignment horizontal="center" vertical="center"/>
      <protection locked="0"/>
    </xf>
    <xf numFmtId="164" fontId="29" fillId="7" borderId="42" xfId="0" applyNumberFormat="1" applyFont="1" applyFill="1" applyBorder="1" applyAlignment="1" applyProtection="1">
      <alignment horizontal="center" vertical="center"/>
      <protection locked="0"/>
    </xf>
    <xf numFmtId="164" fontId="29" fillId="7" borderId="35" xfId="0" applyNumberFormat="1" applyFont="1" applyFill="1" applyBorder="1" applyAlignment="1" applyProtection="1">
      <alignment horizontal="center" vertical="center"/>
      <protection locked="0"/>
    </xf>
    <xf numFmtId="0" fontId="31" fillId="0" borderId="28" xfId="0" applyFont="1" applyBorder="1" applyAlignment="1">
      <alignment horizontal="center"/>
    </xf>
    <xf numFmtId="0" fontId="29" fillId="7" borderId="30" xfId="0" applyFont="1" applyFill="1" applyBorder="1" applyAlignment="1" applyProtection="1">
      <alignment horizontal="center"/>
      <protection locked="0"/>
    </xf>
    <xf numFmtId="0" fontId="29" fillId="7" borderId="32" xfId="0" applyFont="1" applyFill="1" applyBorder="1" applyAlignment="1" applyProtection="1">
      <alignment horizontal="center"/>
      <protection locked="0"/>
    </xf>
    <xf numFmtId="0" fontId="31" fillId="0" borderId="14" xfId="0" applyFont="1" applyBorder="1" applyAlignment="1">
      <alignment horizontal="left" vertical="center"/>
    </xf>
    <xf numFmtId="0" fontId="31" fillId="0" borderId="9" xfId="0" applyFont="1" applyBorder="1" applyAlignment="1">
      <alignment horizontal="left" vertical="center"/>
    </xf>
    <xf numFmtId="0" fontId="31" fillId="0" borderId="15" xfId="0" applyFont="1" applyBorder="1" applyAlignment="1">
      <alignment horizontal="left" vertical="center"/>
    </xf>
    <xf numFmtId="0" fontId="31" fillId="0" borderId="37" xfId="0" applyFont="1" applyBorder="1" applyAlignment="1">
      <alignment horizontal="center" vertical="center"/>
    </xf>
    <xf numFmtId="0" fontId="31" fillId="0" borderId="72" xfId="0" applyFont="1" applyBorder="1" applyAlignment="1">
      <alignment horizontal="center" vertical="center"/>
    </xf>
    <xf numFmtId="164" fontId="83" fillId="0" borderId="0" xfId="0" applyNumberFormat="1" applyFont="1" applyAlignment="1">
      <alignment horizontal="center" vertical="center"/>
    </xf>
    <xf numFmtId="14" fontId="34" fillId="0" borderId="24" xfId="0" applyNumberFormat="1" applyFont="1" applyBorder="1" applyAlignment="1">
      <alignment horizontal="center" vertical="center"/>
    </xf>
    <xf numFmtId="14" fontId="34" fillId="0" borderId="0" xfId="0" applyNumberFormat="1" applyFont="1" applyAlignment="1">
      <alignment horizontal="center" vertical="center"/>
    </xf>
    <xf numFmtId="0" fontId="31" fillId="0" borderId="24" xfId="0" applyFont="1" applyBorder="1" applyAlignment="1">
      <alignment horizontal="center" wrapText="1"/>
    </xf>
    <xf numFmtId="0" fontId="34" fillId="0" borderId="24" xfId="0" applyFont="1" applyBorder="1" applyAlignment="1">
      <alignment horizontal="left" wrapText="1"/>
    </xf>
    <xf numFmtId="0" fontId="34" fillId="0" borderId="0" xfId="0" applyFont="1" applyAlignment="1">
      <alignment horizontal="left" wrapText="1"/>
    </xf>
    <xf numFmtId="0" fontId="31" fillId="0" borderId="19" xfId="0" applyFont="1" applyBorder="1" applyAlignment="1">
      <alignment horizontal="center" vertical="center"/>
    </xf>
    <xf numFmtId="0" fontId="31" fillId="0" borderId="14" xfId="0" applyFont="1" applyBorder="1" applyAlignment="1">
      <alignment horizontal="center" vertical="center"/>
    </xf>
    <xf numFmtId="0" fontId="46" fillId="0" borderId="40" xfId="0" applyFont="1" applyBorder="1" applyAlignment="1">
      <alignment horizontal="center" vertical="center" wrapText="1"/>
    </xf>
    <xf numFmtId="0" fontId="46" fillId="0" borderId="49" xfId="0" applyFont="1" applyBorder="1" applyAlignment="1">
      <alignment horizontal="center" vertical="center" wrapText="1"/>
    </xf>
    <xf numFmtId="0" fontId="29" fillId="2" borderId="30" xfId="0" applyFont="1" applyFill="1" applyBorder="1" applyAlignment="1">
      <alignment horizontal="center"/>
    </xf>
    <xf numFmtId="0" fontId="31" fillId="2" borderId="32" xfId="0" applyFont="1" applyFill="1" applyBorder="1" applyAlignment="1">
      <alignment horizontal="center"/>
    </xf>
    <xf numFmtId="0" fontId="31" fillId="2" borderId="31" xfId="0" applyFont="1" applyFill="1" applyBorder="1" applyAlignment="1">
      <alignment horizontal="center"/>
    </xf>
    <xf numFmtId="0" fontId="31" fillId="0" borderId="37"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6" xfId="0" applyFont="1" applyBorder="1" applyAlignment="1">
      <alignment horizontal="center" vertical="center"/>
    </xf>
    <xf numFmtId="0" fontId="31" fillId="0" borderId="38" xfId="0" applyFont="1" applyBorder="1" applyAlignment="1">
      <alignment horizontal="center" vertical="center"/>
    </xf>
    <xf numFmtId="0" fontId="31" fillId="0" borderId="29" xfId="0" applyFont="1" applyBorder="1" applyAlignment="1">
      <alignment horizontal="center" vertical="center"/>
    </xf>
    <xf numFmtId="49" fontId="31" fillId="0" borderId="37" xfId="0" applyNumberFormat="1" applyFont="1" applyBorder="1" applyAlignment="1">
      <alignment horizontal="left" vertical="center"/>
    </xf>
    <xf numFmtId="49" fontId="31" fillId="0" borderId="39" xfId="0" applyNumberFormat="1" applyFont="1" applyBorder="1" applyAlignment="1">
      <alignment horizontal="left" vertical="center"/>
    </xf>
    <xf numFmtId="0" fontId="31" fillId="0" borderId="35" xfId="0" applyFont="1" applyBorder="1" applyAlignment="1">
      <alignment horizontal="center" vertical="center" wrapText="1"/>
    </xf>
    <xf numFmtId="0" fontId="31" fillId="0" borderId="20" xfId="0" applyFont="1" applyBorder="1" applyAlignment="1">
      <alignment horizontal="center" vertical="center" wrapText="1"/>
    </xf>
    <xf numFmtId="1" fontId="31" fillId="0" borderId="24" xfId="0" quotePrefix="1" applyNumberFormat="1" applyFont="1" applyBorder="1" applyAlignment="1">
      <alignment horizontal="center" vertical="center"/>
    </xf>
    <xf numFmtId="1" fontId="31" fillId="0" borderId="20" xfId="0" quotePrefix="1" applyNumberFormat="1" applyFont="1" applyBorder="1" applyAlignment="1">
      <alignment horizontal="center" vertical="center"/>
    </xf>
    <xf numFmtId="1" fontId="31" fillId="0" borderId="34" xfId="0" applyNumberFormat="1" applyFont="1" applyBorder="1" applyAlignment="1">
      <alignment horizontal="center" vertical="center"/>
    </xf>
    <xf numFmtId="1" fontId="31" fillId="0" borderId="42" xfId="0" applyNumberFormat="1" applyFont="1" applyBorder="1" applyAlignment="1">
      <alignment horizontal="center" vertical="center"/>
    </xf>
    <xf numFmtId="1" fontId="31" fillId="0" borderId="24" xfId="0" applyNumberFormat="1" applyFont="1" applyBorder="1" applyAlignment="1">
      <alignment horizontal="center" vertical="center"/>
    </xf>
    <xf numFmtId="1" fontId="31" fillId="0" borderId="0" xfId="0" applyNumberFormat="1" applyFont="1" applyAlignment="1">
      <alignment horizontal="center" vertical="center"/>
    </xf>
    <xf numFmtId="0" fontId="39" fillId="0" borderId="37" xfId="0" applyFont="1" applyBorder="1" applyAlignment="1">
      <alignment horizontal="center" wrapText="1"/>
    </xf>
    <xf numFmtId="0" fontId="39" fillId="0" borderId="36" xfId="0" applyFont="1" applyBorder="1" applyAlignment="1">
      <alignment horizontal="center" wrapText="1"/>
    </xf>
    <xf numFmtId="0" fontId="31" fillId="0" borderId="58" xfId="0" applyFont="1" applyBorder="1" applyAlignment="1">
      <alignment horizontal="left" vertical="center"/>
    </xf>
    <xf numFmtId="0" fontId="31" fillId="0" borderId="51" xfId="0" applyFont="1" applyBorder="1" applyAlignment="1">
      <alignment horizontal="left" vertical="center"/>
    </xf>
    <xf numFmtId="0" fontId="31" fillId="0" borderId="59" xfId="0" applyFont="1" applyBorder="1" applyAlignment="1">
      <alignment horizontal="left" vertical="center"/>
    </xf>
    <xf numFmtId="0" fontId="83" fillId="0" borderId="0" xfId="0" applyFont="1" applyAlignment="1">
      <alignment horizontal="center" vertical="center" wrapText="1"/>
    </xf>
    <xf numFmtId="172" fontId="34" fillId="0" borderId="0" xfId="0" applyNumberFormat="1" applyFont="1" applyAlignment="1">
      <alignment horizontal="center"/>
    </xf>
    <xf numFmtId="0" fontId="31" fillId="0" borderId="35" xfId="0" applyFont="1" applyBorder="1" applyAlignment="1" applyProtection="1">
      <alignment horizontal="center" vertical="center"/>
      <protection hidden="1"/>
    </xf>
    <xf numFmtId="0" fontId="31" fillId="0" borderId="29" xfId="0" applyFont="1" applyBorder="1" applyAlignment="1" applyProtection="1">
      <alignment horizontal="center" vertical="center"/>
      <protection hidden="1"/>
    </xf>
    <xf numFmtId="0" fontId="51" fillId="0" borderId="34" xfId="0" applyFont="1" applyBorder="1" applyAlignment="1" applyProtection="1">
      <alignment horizontal="center" vertical="center"/>
      <protection locked="0"/>
    </xf>
    <xf numFmtId="0" fontId="51" fillId="0" borderId="35" xfId="0" applyFont="1" applyBorder="1" applyAlignment="1" applyProtection="1">
      <alignment horizontal="center" vertical="center"/>
      <protection locked="0"/>
    </xf>
    <xf numFmtId="0" fontId="51" fillId="0" borderId="24" xfId="0" applyFont="1" applyBorder="1" applyAlignment="1" applyProtection="1">
      <alignment horizontal="center" vertical="center"/>
      <protection locked="0"/>
    </xf>
    <xf numFmtId="0" fontId="51" fillId="0" borderId="20" xfId="0" applyFont="1" applyBorder="1" applyAlignment="1" applyProtection="1">
      <alignment horizontal="center" vertical="center"/>
      <protection locked="0"/>
    </xf>
    <xf numFmtId="0" fontId="51" fillId="0" borderId="38" xfId="0" applyFont="1" applyBorder="1" applyAlignment="1" applyProtection="1">
      <alignment horizontal="center" vertical="center"/>
      <protection locked="0"/>
    </xf>
    <xf numFmtId="0" fontId="51" fillId="0" borderId="29" xfId="0" applyFont="1" applyBorder="1" applyAlignment="1" applyProtection="1">
      <alignment horizontal="center" vertical="center"/>
      <protection locked="0"/>
    </xf>
    <xf numFmtId="0" fontId="39" fillId="0" borderId="30" xfId="0" applyFont="1" applyBorder="1" applyAlignment="1">
      <alignment horizontal="center"/>
    </xf>
    <xf numFmtId="0" fontId="39" fillId="0" borderId="31" xfId="0" applyFont="1" applyBorder="1" applyAlignment="1">
      <alignment horizontal="center"/>
    </xf>
    <xf numFmtId="0" fontId="31" fillId="0" borderId="38" xfId="0" applyFont="1" applyBorder="1" applyAlignment="1" applyProtection="1">
      <alignment horizontal="center" vertical="center"/>
      <protection hidden="1"/>
    </xf>
    <xf numFmtId="0" fontId="31" fillId="0" borderId="28" xfId="0" applyFont="1" applyBorder="1" applyAlignment="1" applyProtection="1">
      <alignment horizontal="center" vertical="center"/>
      <protection hidden="1"/>
    </xf>
    <xf numFmtId="0" fontId="31" fillId="0" borderId="30" xfId="0" applyFont="1" applyBorder="1" applyAlignment="1" applyProtection="1">
      <alignment horizontal="center" vertical="center"/>
      <protection hidden="1"/>
    </xf>
    <xf numFmtId="0" fontId="31" fillId="0" borderId="31" xfId="0" applyFont="1" applyBorder="1" applyAlignment="1" applyProtection="1">
      <alignment horizontal="center" vertical="center"/>
      <protection hidden="1"/>
    </xf>
    <xf numFmtId="0" fontId="31" fillId="0" borderId="34" xfId="0" applyFont="1" applyBorder="1" applyAlignment="1" applyProtection="1">
      <alignment horizontal="center" vertical="center"/>
      <protection hidden="1"/>
    </xf>
    <xf numFmtId="0" fontId="31" fillId="0" borderId="29" xfId="0" applyFont="1" applyBorder="1" applyAlignment="1">
      <alignment horizontal="center" vertical="center" wrapText="1"/>
    </xf>
    <xf numFmtId="0" fontId="29" fillId="2" borderId="32" xfId="0" applyFont="1" applyFill="1" applyBorder="1" applyAlignment="1">
      <alignment horizontal="center"/>
    </xf>
    <xf numFmtId="0" fontId="29" fillId="2" borderId="31" xfId="0" applyFont="1" applyFill="1" applyBorder="1" applyAlignment="1">
      <alignment horizontal="center"/>
    </xf>
    <xf numFmtId="49" fontId="31" fillId="0" borderId="30" xfId="0" applyNumberFormat="1" applyFont="1" applyBorder="1" applyAlignment="1">
      <alignment horizontal="center" vertical="center"/>
    </xf>
    <xf numFmtId="49" fontId="31" fillId="0" borderId="31" xfId="0" applyNumberFormat="1" applyFont="1" applyBorder="1" applyAlignment="1">
      <alignment horizontal="center" vertical="center"/>
    </xf>
    <xf numFmtId="0" fontId="39" fillId="0" borderId="37" xfId="0" applyFont="1" applyBorder="1" applyAlignment="1">
      <alignment horizontal="center" vertical="center"/>
    </xf>
    <xf numFmtId="0" fontId="39" fillId="0" borderId="39" xfId="0" applyFont="1" applyBorder="1" applyAlignment="1">
      <alignment horizontal="center" vertical="center"/>
    </xf>
    <xf numFmtId="0" fontId="29" fillId="2" borderId="29" xfId="0" applyFont="1" applyFill="1" applyBorder="1" applyAlignment="1" applyProtection="1">
      <alignment horizontal="center"/>
      <protection hidden="1"/>
    </xf>
    <xf numFmtId="0" fontId="31" fillId="3" borderId="24" xfId="0" applyFont="1" applyFill="1" applyBorder="1" applyAlignment="1">
      <alignment horizontal="center" vertical="center"/>
    </xf>
    <xf numFmtId="0" fontId="31" fillId="3" borderId="0" xfId="0" applyFont="1" applyFill="1" applyAlignment="1">
      <alignment horizontal="center" vertical="center"/>
    </xf>
    <xf numFmtId="0" fontId="31" fillId="3" borderId="38" xfId="0" applyFont="1" applyFill="1" applyBorder="1" applyAlignment="1">
      <alignment horizontal="center" vertical="center"/>
    </xf>
    <xf numFmtId="0" fontId="31" fillId="3" borderId="28" xfId="0" applyFont="1" applyFill="1" applyBorder="1" applyAlignment="1">
      <alignment horizontal="center" vertical="center"/>
    </xf>
    <xf numFmtId="0" fontId="31" fillId="0" borderId="30" xfId="0" applyFont="1" applyBorder="1" applyAlignment="1">
      <alignment horizontal="right" vertical="center"/>
    </xf>
    <xf numFmtId="0" fontId="31" fillId="0" borderId="32" xfId="0" applyFont="1" applyBorder="1" applyAlignment="1">
      <alignment horizontal="right" vertical="center"/>
    </xf>
    <xf numFmtId="0" fontId="31" fillId="0" borderId="31" xfId="0" applyFont="1" applyBorder="1" applyAlignment="1">
      <alignment horizontal="right" vertical="center"/>
    </xf>
    <xf numFmtId="0" fontId="29" fillId="2" borderId="35" xfId="0" applyFont="1" applyFill="1" applyBorder="1" applyAlignment="1">
      <alignment horizontal="center" vertical="center"/>
    </xf>
    <xf numFmtId="49" fontId="31" fillId="0" borderId="30" xfId="0" applyNumberFormat="1" applyFont="1" applyBorder="1" applyAlignment="1">
      <alignment horizontal="center"/>
    </xf>
    <xf numFmtId="49" fontId="31" fillId="0" borderId="31" xfId="0" applyNumberFormat="1" applyFont="1" applyBorder="1" applyAlignment="1">
      <alignment horizontal="center"/>
    </xf>
    <xf numFmtId="0" fontId="31" fillId="0" borderId="39" xfId="0" applyFont="1" applyBorder="1" applyAlignment="1">
      <alignment horizontal="center" vertical="center"/>
    </xf>
    <xf numFmtId="167" fontId="31" fillId="0" borderId="35" xfId="0" applyNumberFormat="1" applyFont="1" applyBorder="1" applyAlignment="1">
      <alignment horizontal="center" vertical="center"/>
    </xf>
    <xf numFmtId="167" fontId="31" fillId="0" borderId="29" xfId="0" applyNumberFormat="1" applyFont="1" applyBorder="1" applyAlignment="1">
      <alignment horizontal="center" vertical="center"/>
    </xf>
    <xf numFmtId="0" fontId="31" fillId="0" borderId="39" xfId="0" applyFont="1" applyBorder="1" applyAlignment="1">
      <alignment horizontal="center" vertical="center" wrapText="1"/>
    </xf>
    <xf numFmtId="0" fontId="39" fillId="0" borderId="34" xfId="0" applyFont="1" applyBorder="1" applyAlignment="1">
      <alignment horizontal="center" vertical="center"/>
    </xf>
    <xf numFmtId="0" fontId="39" fillId="0" borderId="35" xfId="0" applyFont="1" applyBorder="1" applyAlignment="1">
      <alignment horizontal="center" vertical="center"/>
    </xf>
    <xf numFmtId="0" fontId="39" fillId="0" borderId="38" xfId="0" applyFont="1" applyBorder="1" applyAlignment="1">
      <alignment horizontal="center" vertical="center"/>
    </xf>
    <xf numFmtId="0" fontId="39" fillId="0" borderId="29" xfId="0" applyFont="1" applyBorder="1" applyAlignment="1">
      <alignment horizontal="center" vertical="center"/>
    </xf>
    <xf numFmtId="0" fontId="21" fillId="2" borderId="14" xfId="2" applyFont="1" applyFill="1" applyBorder="1" applyAlignment="1">
      <alignment horizontal="left"/>
    </xf>
    <xf numFmtId="0" fontId="21" fillId="2" borderId="9" xfId="2" applyFont="1" applyFill="1" applyBorder="1" applyAlignment="1">
      <alignment horizontal="left"/>
    </xf>
    <xf numFmtId="0" fontId="21" fillId="2" borderId="50" xfId="2" applyFont="1" applyFill="1" applyBorder="1" applyAlignment="1">
      <alignment horizontal="left"/>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78" xfId="0" applyFont="1" applyBorder="1" applyAlignment="1">
      <alignment horizontal="left" vertical="center"/>
    </xf>
    <xf numFmtId="0" fontId="21" fillId="0" borderId="52" xfId="0" applyFont="1" applyBorder="1" applyAlignment="1" applyProtection="1">
      <alignment horizontal="left" vertical="center"/>
      <protection hidden="1"/>
    </xf>
    <xf numFmtId="0" fontId="21" fillId="0" borderId="9" xfId="0" applyFont="1" applyBorder="1" applyAlignment="1" applyProtection="1">
      <alignment horizontal="left" vertical="center"/>
      <protection hidden="1"/>
    </xf>
    <xf numFmtId="172" fontId="21" fillId="0" borderId="9" xfId="0" applyNumberFormat="1" applyFont="1" applyBorder="1" applyAlignment="1">
      <alignment horizontal="left" vertical="center"/>
    </xf>
    <xf numFmtId="172" fontId="21" fillId="0" borderId="15" xfId="0" applyNumberFormat="1" applyFont="1" applyBorder="1" applyAlignment="1">
      <alignment horizontal="left" vertical="center"/>
    </xf>
    <xf numFmtId="0" fontId="21" fillId="0" borderId="7" xfId="0" applyFont="1" applyBorder="1" applyAlignment="1">
      <alignment horizontal="left"/>
    </xf>
    <xf numFmtId="0" fontId="22" fillId="0" borderId="16" xfId="0" applyFont="1" applyBorder="1" applyAlignment="1">
      <alignment horizontal="left"/>
    </xf>
    <xf numFmtId="0" fontId="22" fillId="0" borderId="17" xfId="0" applyFont="1" applyBorder="1" applyAlignment="1">
      <alignment horizontal="left"/>
    </xf>
    <xf numFmtId="0" fontId="22" fillId="0" borderId="20" xfId="0" applyFont="1" applyBorder="1" applyAlignment="1">
      <alignment horizontal="left"/>
    </xf>
    <xf numFmtId="0" fontId="21" fillId="0" borderId="27" xfId="0" applyFont="1" applyBorder="1" applyAlignment="1">
      <alignment horizontal="left"/>
    </xf>
    <xf numFmtId="0" fontId="21" fillId="0" borderId="28" xfId="0" applyFont="1" applyBorder="1" applyAlignment="1">
      <alignment horizontal="left"/>
    </xf>
    <xf numFmtId="0" fontId="21" fillId="0" borderId="29" xfId="0" applyFont="1" applyBorder="1" applyAlignment="1">
      <alignment horizontal="left"/>
    </xf>
    <xf numFmtId="0" fontId="9" fillId="0" borderId="28" xfId="2" applyFont="1" applyBorder="1" applyAlignment="1">
      <alignment horizontal="center" vertical="center" wrapText="1"/>
    </xf>
    <xf numFmtId="0" fontId="18" fillId="0" borderId="57" xfId="2" applyFont="1" applyBorder="1" applyAlignment="1">
      <alignment horizontal="left"/>
    </xf>
    <xf numFmtId="0" fontId="18" fillId="0" borderId="12" xfId="2" applyFont="1" applyBorder="1" applyAlignment="1">
      <alignment horizontal="left"/>
    </xf>
    <xf numFmtId="0" fontId="18" fillId="0" borderId="48" xfId="2" applyFont="1" applyBorder="1" applyAlignment="1">
      <alignment horizontal="center" vertical="center"/>
    </xf>
    <xf numFmtId="0" fontId="18" fillId="0" borderId="11" xfId="2" applyFont="1" applyBorder="1" applyAlignment="1">
      <alignment horizontal="center" vertical="center"/>
    </xf>
    <xf numFmtId="0" fontId="18" fillId="0" borderId="41" xfId="2" applyFont="1" applyBorder="1" applyAlignment="1">
      <alignment horizontal="center" vertical="center"/>
    </xf>
    <xf numFmtId="0" fontId="54" fillId="0" borderId="0" xfId="0" applyFont="1" applyAlignment="1">
      <alignment horizontal="center" vertical="center" wrapText="1"/>
    </xf>
    <xf numFmtId="0" fontId="54" fillId="0" borderId="20" xfId="0" applyFont="1" applyBorder="1" applyAlignment="1">
      <alignment horizontal="center" vertical="center" wrapText="1"/>
    </xf>
    <xf numFmtId="0" fontId="18" fillId="0" borderId="58" xfId="2" applyFont="1" applyBorder="1" applyAlignment="1">
      <alignment horizontal="left"/>
    </xf>
    <xf numFmtId="0" fontId="18" fillId="0" borderId="51" xfId="2" applyFont="1" applyBorder="1" applyAlignment="1">
      <alignment horizontal="left"/>
    </xf>
    <xf numFmtId="0" fontId="18" fillId="7" borderId="51" xfId="2" applyFont="1" applyFill="1" applyBorder="1" applyAlignment="1" applyProtection="1">
      <alignment horizontal="center" vertical="center"/>
      <protection locked="0"/>
    </xf>
    <xf numFmtId="0" fontId="18" fillId="7" borderId="59" xfId="2" applyFont="1" applyFill="1" applyBorder="1" applyAlignment="1" applyProtection="1">
      <alignment horizontal="center" vertical="center"/>
      <protection locked="0"/>
    </xf>
    <xf numFmtId="164" fontId="10" fillId="0" borderId="0" xfId="0" applyNumberFormat="1" applyFont="1" applyAlignment="1">
      <alignment horizontal="center" vertical="center" wrapText="1"/>
    </xf>
    <xf numFmtId="164" fontId="10" fillId="0" borderId="20" xfId="0" applyNumberFormat="1" applyFont="1" applyBorder="1" applyAlignment="1">
      <alignment horizontal="center" vertical="center" wrapText="1"/>
    </xf>
    <xf numFmtId="0" fontId="18" fillId="0" borderId="51" xfId="2" applyFont="1" applyBorder="1" applyAlignment="1">
      <alignment horizontal="center" vertical="center"/>
    </xf>
    <xf numFmtId="0" fontId="18" fillId="0" borderId="59" xfId="2" applyFont="1" applyBorder="1" applyAlignment="1">
      <alignment horizontal="center" vertical="center"/>
    </xf>
    <xf numFmtId="172" fontId="10" fillId="0" borderId="0" xfId="0" applyNumberFormat="1" applyFont="1" applyAlignment="1">
      <alignment horizontal="center" vertical="center" wrapText="1"/>
    </xf>
    <xf numFmtId="172" fontId="10" fillId="0" borderId="20" xfId="0" applyNumberFormat="1" applyFont="1" applyBorder="1" applyAlignment="1">
      <alignment horizontal="center" vertical="center" wrapText="1"/>
    </xf>
    <xf numFmtId="0" fontId="18" fillId="0" borderId="21" xfId="2" applyFont="1" applyBorder="1" applyAlignment="1">
      <alignment horizontal="left"/>
    </xf>
    <xf numFmtId="0" fontId="18" fillId="0" borderId="22" xfId="2" applyFont="1" applyBorder="1" applyAlignment="1">
      <alignment horizontal="left"/>
    </xf>
    <xf numFmtId="0" fontId="18" fillId="0" borderId="22" xfId="2" applyFont="1" applyBorder="1" applyAlignment="1">
      <alignment horizontal="center" vertical="center"/>
    </xf>
    <xf numFmtId="0" fontId="18" fillId="0" borderId="64" xfId="2" applyFont="1" applyBorder="1" applyAlignment="1">
      <alignment horizontal="center" vertical="center"/>
    </xf>
    <xf numFmtId="0" fontId="18" fillId="0" borderId="57" xfId="2" applyFont="1" applyBorder="1" applyAlignment="1">
      <alignment horizontal="center" vertical="center"/>
    </xf>
    <xf numFmtId="0" fontId="18" fillId="0" borderId="12" xfId="2" applyFont="1" applyBorder="1" applyAlignment="1">
      <alignment horizontal="center" vertical="center"/>
    </xf>
    <xf numFmtId="0" fontId="18" fillId="0" borderId="13" xfId="2" applyFont="1" applyBorder="1" applyAlignment="1">
      <alignment horizontal="center" vertical="center"/>
    </xf>
    <xf numFmtId="0" fontId="18" fillId="0" borderId="58" xfId="2" applyFont="1" applyBorder="1" applyAlignment="1">
      <alignment horizontal="center" vertical="center"/>
    </xf>
    <xf numFmtId="0" fontId="18" fillId="0" borderId="69" xfId="2" applyFont="1" applyBorder="1" applyAlignment="1">
      <alignment horizontal="center" vertical="center"/>
    </xf>
    <xf numFmtId="0" fontId="18" fillId="0" borderId="70" xfId="2" applyFont="1" applyBorder="1" applyAlignment="1">
      <alignment horizontal="center" vertical="center"/>
    </xf>
    <xf numFmtId="0" fontId="18" fillId="0" borderId="71" xfId="2" applyFont="1" applyBorder="1" applyAlignment="1">
      <alignment horizontal="center" vertical="center"/>
    </xf>
    <xf numFmtId="2" fontId="18" fillId="7" borderId="6" xfId="2" applyNumberFormat="1" applyFont="1" applyFill="1" applyBorder="1" applyAlignment="1" applyProtection="1">
      <alignment horizontal="center" vertical="center"/>
      <protection locked="0"/>
    </xf>
    <xf numFmtId="2" fontId="18" fillId="7" borderId="8" xfId="2" applyNumberFormat="1" applyFont="1" applyFill="1" applyBorder="1" applyAlignment="1" applyProtection="1">
      <alignment horizontal="center" vertical="center"/>
      <protection locked="0"/>
    </xf>
    <xf numFmtId="2" fontId="18" fillId="7" borderId="23" xfId="2" applyNumberFormat="1" applyFont="1" applyFill="1" applyBorder="1" applyAlignment="1" applyProtection="1">
      <alignment horizontal="center" vertical="center"/>
      <protection locked="0"/>
    </xf>
    <xf numFmtId="2" fontId="18" fillId="7" borderId="52" xfId="2" applyNumberFormat="1" applyFont="1" applyFill="1" applyBorder="1" applyAlignment="1" applyProtection="1">
      <alignment horizontal="center" vertical="center"/>
      <protection locked="0"/>
    </xf>
    <xf numFmtId="2" fontId="18" fillId="7" borderId="50" xfId="2" applyNumberFormat="1" applyFont="1" applyFill="1" applyBorder="1" applyAlignment="1" applyProtection="1">
      <alignment horizontal="center" vertical="center"/>
      <protection locked="0"/>
    </xf>
    <xf numFmtId="2" fontId="18" fillId="0" borderId="52" xfId="2" applyNumberFormat="1" applyFont="1" applyBorder="1" applyAlignment="1">
      <alignment horizontal="center" vertical="center"/>
    </xf>
    <xf numFmtId="2" fontId="18" fillId="0" borderId="50" xfId="2" applyNumberFormat="1" applyFont="1" applyBorder="1" applyAlignment="1">
      <alignment horizontal="center" vertical="center"/>
    </xf>
    <xf numFmtId="0" fontId="18" fillId="0" borderId="50" xfId="2" applyFont="1" applyBorder="1" applyAlignment="1">
      <alignment horizontal="center" vertical="center"/>
    </xf>
    <xf numFmtId="171" fontId="18" fillId="7" borderId="52" xfId="2" applyNumberFormat="1" applyFont="1" applyFill="1" applyBorder="1" applyAlignment="1" applyProtection="1">
      <alignment horizontal="center" vertical="center"/>
      <protection locked="0"/>
    </xf>
    <xf numFmtId="171" fontId="18" fillId="7" borderId="50" xfId="2" applyNumberFormat="1" applyFont="1" applyFill="1" applyBorder="1" applyAlignment="1" applyProtection="1">
      <alignment horizontal="center" vertical="center"/>
      <protection locked="0"/>
    </xf>
    <xf numFmtId="171" fontId="18" fillId="0" borderId="52" xfId="2" applyNumberFormat="1" applyFont="1" applyBorder="1" applyAlignment="1">
      <alignment horizontal="center" vertical="center"/>
    </xf>
    <xf numFmtId="164" fontId="18" fillId="0" borderId="52" xfId="2" applyNumberFormat="1" applyFont="1" applyBorder="1" applyAlignment="1">
      <alignment horizontal="center" vertical="center"/>
    </xf>
    <xf numFmtId="164" fontId="18" fillId="0" borderId="50" xfId="2" applyNumberFormat="1" applyFont="1" applyBorder="1" applyAlignment="1">
      <alignment horizontal="center" vertical="center"/>
    </xf>
    <xf numFmtId="164" fontId="18" fillId="0" borderId="15" xfId="2" applyNumberFormat="1" applyFont="1" applyBorder="1" applyAlignment="1">
      <alignment horizontal="center" vertical="center"/>
    </xf>
    <xf numFmtId="0" fontId="18" fillId="0" borderId="34" xfId="2" applyFont="1" applyBorder="1" applyAlignment="1">
      <alignment horizontal="right"/>
    </xf>
    <xf numFmtId="0" fontId="18" fillId="0" borderId="42" xfId="2" applyFont="1" applyBorder="1" applyAlignment="1">
      <alignment horizontal="right"/>
    </xf>
    <xf numFmtId="0" fontId="61" fillId="0" borderId="38" xfId="2" applyFont="1" applyBorder="1" applyAlignment="1">
      <alignment horizontal="center"/>
    </xf>
    <xf numFmtId="0" fontId="61" fillId="0" borderId="28" xfId="2" applyFont="1" applyBorder="1" applyAlignment="1">
      <alignment horizontal="center"/>
    </xf>
    <xf numFmtId="0" fontId="18" fillId="0" borderId="34" xfId="2" applyFont="1" applyBorder="1" applyAlignment="1">
      <alignment horizontal="center" vertical="center"/>
    </xf>
    <xf numFmtId="0" fontId="18" fillId="0" borderId="42" xfId="2" applyFont="1" applyBorder="1" applyAlignment="1">
      <alignment horizontal="center" vertical="center"/>
    </xf>
    <xf numFmtId="0" fontId="18" fillId="0" borderId="24" xfId="2" applyFont="1" applyBorder="1" applyAlignment="1">
      <alignment horizontal="center" vertical="center"/>
    </xf>
    <xf numFmtId="0" fontId="18" fillId="0" borderId="0" xfId="2" applyFont="1" applyAlignment="1">
      <alignment horizontal="center" vertical="center"/>
    </xf>
    <xf numFmtId="0" fontId="61" fillId="0" borderId="38" xfId="2" applyFont="1" applyBorder="1" applyAlignment="1">
      <alignment horizontal="center" vertical="top"/>
    </xf>
    <xf numFmtId="0" fontId="61" fillId="0" borderId="28" xfId="2" applyFont="1" applyBorder="1" applyAlignment="1">
      <alignment horizontal="center" vertical="top"/>
    </xf>
    <xf numFmtId="168" fontId="18" fillId="0" borderId="52" xfId="2" applyNumberFormat="1" applyFont="1" applyBorder="1" applyAlignment="1">
      <alignment horizontal="center" vertical="center"/>
    </xf>
    <xf numFmtId="168" fontId="18" fillId="0" borderId="50" xfId="2" applyNumberFormat="1" applyFont="1" applyBorder="1" applyAlignment="1">
      <alignment horizontal="center" vertical="center"/>
    </xf>
    <xf numFmtId="0" fontId="18" fillId="0" borderId="15" xfId="2" applyFont="1" applyBorder="1" applyAlignment="1">
      <alignment horizontal="center" vertical="center"/>
    </xf>
    <xf numFmtId="1" fontId="18" fillId="0" borderId="56" xfId="2" applyNumberFormat="1" applyFont="1" applyBorder="1" applyAlignment="1">
      <alignment horizontal="center" vertical="center"/>
    </xf>
    <xf numFmtId="1" fontId="18" fillId="0" borderId="54" xfId="2" applyNumberFormat="1" applyFont="1" applyBorder="1" applyAlignment="1">
      <alignment horizontal="center" vertical="center"/>
    </xf>
    <xf numFmtId="1" fontId="18" fillId="0" borderId="45" xfId="2" applyNumberFormat="1" applyFont="1" applyBorder="1" applyAlignment="1">
      <alignment horizontal="center" vertical="center"/>
    </xf>
    <xf numFmtId="0" fontId="20" fillId="2" borderId="11" xfId="2" applyFont="1" applyFill="1" applyBorder="1" applyAlignment="1">
      <alignment horizontal="right" vertical="center"/>
    </xf>
    <xf numFmtId="0" fontId="20" fillId="2" borderId="41" xfId="2" applyFont="1" applyFill="1" applyBorder="1" applyAlignment="1">
      <alignment horizontal="right" vertical="center"/>
    </xf>
    <xf numFmtId="0" fontId="21" fillId="2" borderId="10" xfId="2" applyFont="1" applyFill="1" applyBorder="1" applyAlignment="1">
      <alignment horizontal="left" vertical="center"/>
    </xf>
    <xf numFmtId="0" fontId="21" fillId="2" borderId="11" xfId="2" applyFont="1" applyFill="1" applyBorder="1" applyAlignment="1">
      <alignment horizontal="left" vertical="center"/>
    </xf>
    <xf numFmtId="0" fontId="18" fillId="0" borderId="24" xfId="2" applyFont="1" applyBorder="1" applyAlignment="1">
      <alignment horizontal="left" vertical="center"/>
    </xf>
    <xf numFmtId="0" fontId="18" fillId="0" borderId="0" xfId="2" applyFont="1" applyAlignment="1">
      <alignment horizontal="left" vertical="center"/>
    </xf>
    <xf numFmtId="0" fontId="18" fillId="0" borderId="20" xfId="2" applyFont="1" applyBorder="1" applyAlignment="1">
      <alignment horizontal="left" vertical="center"/>
    </xf>
    <xf numFmtId="0" fontId="18" fillId="0" borderId="34" xfId="2" applyFont="1" applyBorder="1" applyAlignment="1">
      <alignment horizontal="center"/>
    </xf>
    <xf numFmtId="0" fontId="18" fillId="0" borderId="42" xfId="2" applyFont="1" applyBorder="1" applyAlignment="1">
      <alignment horizontal="center"/>
    </xf>
    <xf numFmtId="0" fontId="18" fillId="0" borderId="11" xfId="2" applyFont="1" applyBorder="1" applyAlignment="1">
      <alignment horizontal="center"/>
    </xf>
    <xf numFmtId="1" fontId="21" fillId="0" borderId="34" xfId="2" applyNumberFormat="1" applyFont="1" applyBorder="1" applyAlignment="1">
      <alignment horizontal="center" vertical="center"/>
    </xf>
    <xf numFmtId="1" fontId="21" fillId="0" borderId="35" xfId="2" applyNumberFormat="1" applyFont="1" applyBorder="1" applyAlignment="1">
      <alignment horizontal="center" vertical="center"/>
    </xf>
    <xf numFmtId="1" fontId="21" fillId="0" borderId="38" xfId="2" applyNumberFormat="1" applyFont="1" applyBorder="1" applyAlignment="1">
      <alignment horizontal="center" vertical="center"/>
    </xf>
    <xf numFmtId="1" fontId="21" fillId="0" borderId="29" xfId="2" applyNumberFormat="1" applyFont="1" applyBorder="1" applyAlignment="1">
      <alignment horizontal="center" vertical="center"/>
    </xf>
    <xf numFmtId="0" fontId="18" fillId="0" borderId="28" xfId="2" applyFont="1" applyBorder="1" applyAlignment="1">
      <alignment horizontal="center"/>
    </xf>
    <xf numFmtId="0" fontId="18" fillId="0" borderId="38" xfId="2" applyFont="1" applyBorder="1" applyAlignment="1">
      <alignment horizontal="right"/>
    </xf>
    <xf numFmtId="0" fontId="18" fillId="0" borderId="28" xfId="2" applyFont="1" applyBorder="1" applyAlignment="1">
      <alignment horizontal="right"/>
    </xf>
    <xf numFmtId="0" fontId="18" fillId="0" borderId="28" xfId="2" applyFont="1" applyBorder="1" applyAlignment="1">
      <alignment horizontal="center" vertical="center"/>
    </xf>
    <xf numFmtId="168" fontId="21" fillId="0" borderId="34" xfId="2" applyNumberFormat="1" applyFont="1" applyBorder="1" applyAlignment="1">
      <alignment horizontal="center" vertical="center"/>
    </xf>
    <xf numFmtId="168" fontId="21" fillId="0" borderId="42" xfId="2" applyNumberFormat="1" applyFont="1" applyBorder="1" applyAlignment="1">
      <alignment horizontal="center" vertical="center"/>
    </xf>
    <xf numFmtId="168" fontId="21" fillId="0" borderId="35" xfId="2" applyNumberFormat="1" applyFont="1" applyBorder="1" applyAlignment="1">
      <alignment horizontal="center" vertical="center"/>
    </xf>
    <xf numFmtId="168" fontId="21" fillId="0" borderId="24" xfId="2" applyNumberFormat="1" applyFont="1" applyBorder="1" applyAlignment="1">
      <alignment horizontal="center" vertical="center"/>
    </xf>
    <xf numFmtId="168" fontId="21" fillId="0" borderId="0" xfId="2" applyNumberFormat="1" applyFont="1" applyAlignment="1">
      <alignment horizontal="center" vertical="center"/>
    </xf>
    <xf numFmtId="168" fontId="21" fillId="0" borderId="20" xfId="2" applyNumberFormat="1" applyFont="1" applyBorder="1" applyAlignment="1">
      <alignment horizontal="center" vertical="center"/>
    </xf>
    <xf numFmtId="168" fontId="21" fillId="0" borderId="38" xfId="2" applyNumberFormat="1" applyFont="1" applyBorder="1" applyAlignment="1">
      <alignment horizontal="center" vertical="center"/>
    </xf>
    <xf numFmtId="168" fontId="21" fillId="0" borderId="28" xfId="2" applyNumberFormat="1" applyFont="1" applyBorder="1" applyAlignment="1">
      <alignment horizontal="center" vertical="center"/>
    </xf>
    <xf numFmtId="168" fontId="21" fillId="0" borderId="29" xfId="2" applyNumberFormat="1" applyFont="1" applyBorder="1" applyAlignment="1">
      <alignment horizontal="center" vertical="center"/>
    </xf>
    <xf numFmtId="0" fontId="61" fillId="0" borderId="24" xfId="2" applyFont="1" applyBorder="1" applyAlignment="1">
      <alignment horizontal="center" vertical="top"/>
    </xf>
    <xf numFmtId="0" fontId="61" fillId="0" borderId="0" xfId="2" applyFont="1" applyAlignment="1">
      <alignment horizontal="center" vertical="top"/>
    </xf>
    <xf numFmtId="0" fontId="18" fillId="0" borderId="24" xfId="2" applyFont="1" applyBorder="1" applyAlignment="1">
      <alignment horizontal="right"/>
    </xf>
    <xf numFmtId="0" fontId="18" fillId="0" borderId="0" xfId="2" applyFont="1" applyAlignment="1">
      <alignment horizontal="right"/>
    </xf>
    <xf numFmtId="0" fontId="18" fillId="0" borderId="60" xfId="2" applyFont="1" applyBorder="1" applyAlignment="1">
      <alignment horizontal="center" vertical="center"/>
    </xf>
    <xf numFmtId="0" fontId="18" fillId="0" borderId="55" xfId="2" applyFont="1" applyBorder="1" applyAlignment="1">
      <alignment horizontal="center" vertical="center"/>
    </xf>
    <xf numFmtId="0" fontId="18" fillId="0" borderId="61" xfId="2" applyFont="1" applyBorder="1" applyAlignment="1">
      <alignment horizontal="center" vertical="center"/>
    </xf>
    <xf numFmtId="0" fontId="18" fillId="0" borderId="57" xfId="2" applyFont="1" applyBorder="1" applyAlignment="1">
      <alignment horizontal="left" vertical="center"/>
    </xf>
    <xf numFmtId="0" fontId="18" fillId="0" borderId="48" xfId="2" applyFont="1" applyBorder="1" applyAlignment="1">
      <alignment horizontal="left" vertical="center"/>
    </xf>
    <xf numFmtId="0" fontId="18" fillId="0" borderId="58" xfId="2" applyFont="1" applyBorder="1" applyAlignment="1">
      <alignment horizontal="left" vertical="center"/>
    </xf>
    <xf numFmtId="0" fontId="18" fillId="0" borderId="52" xfId="2" applyFont="1" applyBorder="1" applyAlignment="1">
      <alignment horizontal="left" vertical="center"/>
    </xf>
    <xf numFmtId="0" fontId="18" fillId="0" borderId="60" xfId="2" applyFont="1" applyBorder="1" applyAlignment="1">
      <alignment horizontal="left" vertical="center"/>
    </xf>
    <xf numFmtId="0" fontId="18" fillId="0" borderId="56" xfId="2" applyFont="1" applyBorder="1" applyAlignment="1">
      <alignment horizontal="left" vertical="center"/>
    </xf>
    <xf numFmtId="0" fontId="0" fillId="0" borderId="68" xfId="0" applyBorder="1" applyAlignment="1">
      <alignment horizontal="center" vertical="center"/>
    </xf>
    <xf numFmtId="0" fontId="0" fillId="0" borderId="59" xfId="0" applyBorder="1" applyAlignment="1">
      <alignment horizontal="center" vertical="center"/>
    </xf>
    <xf numFmtId="0" fontId="0" fillId="0" borderId="67" xfId="0" applyBorder="1" applyAlignment="1">
      <alignment horizontal="center" vertical="center"/>
    </xf>
    <xf numFmtId="0" fontId="0" fillId="0" borderId="63" xfId="0" applyBorder="1" applyAlignment="1">
      <alignment horizontal="center" vertical="center"/>
    </xf>
    <xf numFmtId="0" fontId="0" fillId="0" borderId="70" xfId="0" applyBorder="1" applyAlignment="1">
      <alignment horizontal="center" vertical="center"/>
    </xf>
    <xf numFmtId="0" fontId="39" fillId="0" borderId="30" xfId="0" applyFont="1" applyBorder="1" applyAlignment="1">
      <alignment horizontal="right"/>
    </xf>
    <xf numFmtId="0" fontId="39" fillId="0" borderId="32" xfId="0" applyFont="1" applyBorder="1" applyAlignment="1">
      <alignment horizontal="right"/>
    </xf>
    <xf numFmtId="0" fontId="39" fillId="0" borderId="31" xfId="0" applyFont="1" applyBorder="1" applyAlignment="1">
      <alignment horizontal="right"/>
    </xf>
    <xf numFmtId="0" fontId="31" fillId="0" borderId="42" xfId="0" applyFont="1" applyBorder="1" applyAlignment="1">
      <alignment horizontal="center" vertical="center" wrapText="1"/>
    </xf>
    <xf numFmtId="0" fontId="31" fillId="0" borderId="24" xfId="0" applyFont="1" applyBorder="1" applyAlignment="1">
      <alignment horizontal="center" vertical="center"/>
    </xf>
    <xf numFmtId="1" fontId="31" fillId="0" borderId="38" xfId="0" quotePrefix="1" applyNumberFormat="1" applyFont="1" applyBorder="1" applyAlignment="1">
      <alignment horizontal="center" vertical="center"/>
    </xf>
    <xf numFmtId="1" fontId="31" fillId="0" borderId="29" xfId="0" quotePrefix="1" applyNumberFormat="1" applyFont="1" applyBorder="1" applyAlignment="1">
      <alignment horizontal="center" vertical="center"/>
    </xf>
    <xf numFmtId="0" fontId="29" fillId="2" borderId="30" xfId="0" applyFont="1" applyFill="1" applyBorder="1" applyAlignment="1">
      <alignment horizontal="left" vertical="center"/>
    </xf>
    <xf numFmtId="0" fontId="29" fillId="2" borderId="32" xfId="0" applyFont="1" applyFill="1" applyBorder="1" applyAlignment="1">
      <alignment horizontal="left" vertical="center"/>
    </xf>
    <xf numFmtId="0" fontId="32" fillId="2" borderId="32" xfId="0" applyFont="1" applyFill="1" applyBorder="1" applyAlignment="1">
      <alignment horizontal="right" vertical="center"/>
    </xf>
    <xf numFmtId="0" fontId="32" fillId="2" borderId="31" xfId="0" applyFont="1" applyFill="1" applyBorder="1" applyAlignment="1">
      <alignment horizontal="right" vertical="center"/>
    </xf>
    <xf numFmtId="0" fontId="39" fillId="0" borderId="38" xfId="0" applyFont="1" applyBorder="1" applyAlignment="1">
      <alignment horizontal="center"/>
    </xf>
    <xf numFmtId="0" fontId="39" fillId="0" borderId="29" xfId="0" applyFont="1" applyBorder="1" applyAlignment="1">
      <alignment horizontal="center"/>
    </xf>
    <xf numFmtId="0" fontId="31" fillId="0" borderId="37" xfId="0" applyFont="1" applyBorder="1" applyAlignment="1" applyProtection="1">
      <alignment horizontal="center" vertical="center"/>
      <protection hidden="1"/>
    </xf>
    <xf numFmtId="0" fontId="31" fillId="0" borderId="39" xfId="0" applyFont="1" applyBorder="1" applyAlignment="1" applyProtection="1">
      <alignment horizontal="center" vertical="center"/>
      <protection hidden="1"/>
    </xf>
    <xf numFmtId="0" fontId="47" fillId="2" borderId="30" xfId="0" applyFont="1" applyFill="1" applyBorder="1" applyAlignment="1">
      <alignment horizontal="center" vertical="center"/>
    </xf>
    <xf numFmtId="0" fontId="47" fillId="2" borderId="32" xfId="0" applyFont="1" applyFill="1" applyBorder="1" applyAlignment="1">
      <alignment horizontal="center" vertical="center"/>
    </xf>
    <xf numFmtId="0" fontId="47" fillId="2" borderId="31" xfId="0" applyFont="1" applyFill="1" applyBorder="1" applyAlignment="1">
      <alignment horizontal="center" vertical="center"/>
    </xf>
    <xf numFmtId="0" fontId="18" fillId="0" borderId="34" xfId="0" applyFont="1" applyBorder="1" applyAlignment="1">
      <alignment horizontal="center" vertical="center"/>
    </xf>
    <xf numFmtId="0" fontId="18" fillId="0" borderId="24" xfId="0" applyFont="1" applyBorder="1" applyAlignment="1">
      <alignment horizontal="center" vertical="center"/>
    </xf>
    <xf numFmtId="0" fontId="18" fillId="0" borderId="38" xfId="0" applyFont="1" applyBorder="1" applyAlignment="1">
      <alignment horizontal="center" vertical="center"/>
    </xf>
    <xf numFmtId="0" fontId="18" fillId="0" borderId="37" xfId="0" applyFont="1" applyBorder="1" applyAlignment="1">
      <alignment horizontal="center" vertical="center"/>
    </xf>
    <xf numFmtId="0" fontId="18" fillId="0" borderId="36" xfId="0" applyFont="1" applyBorder="1" applyAlignment="1">
      <alignment horizontal="center" vertical="center"/>
    </xf>
    <xf numFmtId="0" fontId="18" fillId="0" borderId="39" xfId="0" applyFont="1" applyBorder="1" applyAlignment="1">
      <alignment horizontal="center" vertical="center"/>
    </xf>
    <xf numFmtId="0" fontId="18" fillId="0" borderId="30" xfId="0" applyFont="1" applyBorder="1" applyAlignment="1">
      <alignment horizontal="center"/>
    </xf>
    <xf numFmtId="0" fontId="18" fillId="0" borderId="31" xfId="0" applyFont="1" applyBorder="1" applyAlignment="1">
      <alignment horizontal="center"/>
    </xf>
    <xf numFmtId="0" fontId="21" fillId="5" borderId="30" xfId="0" applyFont="1" applyFill="1" applyBorder="1" applyAlignment="1">
      <alignment horizontal="center"/>
    </xf>
    <xf numFmtId="0" fontId="21" fillId="5" borderId="32" xfId="0" applyFont="1" applyFill="1" applyBorder="1" applyAlignment="1">
      <alignment horizontal="center"/>
    </xf>
    <xf numFmtId="0" fontId="21" fillId="5" borderId="31" xfId="0" applyFont="1" applyFill="1" applyBorder="1" applyAlignment="1">
      <alignment horizontal="center"/>
    </xf>
    <xf numFmtId="0" fontId="18" fillId="0" borderId="30" xfId="0" applyFont="1" applyBorder="1" applyAlignment="1">
      <alignment horizontal="left" vertical="center" wrapText="1"/>
    </xf>
    <xf numFmtId="0" fontId="18" fillId="0" borderId="32" xfId="0" applyFont="1" applyBorder="1" applyAlignment="1">
      <alignment horizontal="left" vertical="center" wrapText="1"/>
    </xf>
    <xf numFmtId="0" fontId="18" fillId="0" borderId="31" xfId="0" applyFont="1" applyBorder="1" applyAlignment="1">
      <alignment horizontal="left" vertical="center" wrapText="1"/>
    </xf>
    <xf numFmtId="0" fontId="53" fillId="0" borderId="0" xfId="0" applyFont="1" applyAlignment="1">
      <alignment horizontal="center" vertical="center" wrapText="1"/>
    </xf>
    <xf numFmtId="164" fontId="54" fillId="0" borderId="0" xfId="0" applyNumberFormat="1" applyFont="1" applyAlignment="1">
      <alignment horizontal="center" vertical="center" wrapText="1"/>
    </xf>
    <xf numFmtId="0" fontId="18" fillId="0" borderId="24" xfId="0" applyFont="1" applyBorder="1" applyAlignment="1">
      <alignment horizontal="center"/>
    </xf>
    <xf numFmtId="0" fontId="18" fillId="0" borderId="0" xfId="0" applyFont="1" applyAlignment="1">
      <alignment horizontal="center"/>
    </xf>
    <xf numFmtId="0" fontId="56" fillId="0" borderId="0" xfId="0" applyFont="1" applyAlignment="1">
      <alignment horizontal="center" vertical="center" wrapText="1"/>
    </xf>
    <xf numFmtId="0" fontId="2" fillId="0" borderId="0" xfId="0" applyFont="1" applyAlignment="1">
      <alignment horizontal="center"/>
    </xf>
    <xf numFmtId="0" fontId="2" fillId="0" borderId="57"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5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1" xfId="0" applyFont="1" applyBorder="1" applyAlignment="1">
      <alignment horizontal="center" wrapText="1"/>
    </xf>
    <xf numFmtId="0" fontId="2" fillId="0" borderId="59" xfId="0" applyFont="1" applyBorder="1" applyAlignment="1">
      <alignment horizontal="center" wrapText="1"/>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51" xfId="0" applyFont="1" applyBorder="1" applyAlignment="1">
      <alignment horizontal="center"/>
    </xf>
    <xf numFmtId="0" fontId="2"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Border="1" applyAlignment="1">
      <alignment horizontal="right" vertical="center"/>
    </xf>
    <xf numFmtId="0" fontId="15" fillId="4" borderId="0" xfId="0" applyFont="1" applyFill="1" applyAlignment="1">
      <alignment horizontal="center" wrapText="1"/>
    </xf>
    <xf numFmtId="0" fontId="2" fillId="0" borderId="0" xfId="0" applyFont="1" applyAlignment="1">
      <alignment horizontal="center" vertical="center"/>
    </xf>
    <xf numFmtId="0" fontId="2" fillId="0" borderId="4" xfId="0" applyFont="1" applyBorder="1" applyAlignment="1">
      <alignment horizontal="center"/>
    </xf>
    <xf numFmtId="0" fontId="10" fillId="0" borderId="24" xfId="0" applyFont="1" applyBorder="1" applyAlignment="1">
      <alignment horizontal="left" vertical="center" wrapText="1"/>
    </xf>
    <xf numFmtId="0" fontId="10" fillId="0" borderId="20" xfId="0" applyFont="1" applyBorder="1" applyAlignment="1">
      <alignment horizontal="left" vertical="center" wrapText="1"/>
    </xf>
    <xf numFmtId="0" fontId="10" fillId="0" borderId="3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0" fillId="0" borderId="40"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49" fontId="18" fillId="0" borderId="34" xfId="0" applyNumberFormat="1" applyFont="1" applyBorder="1" applyAlignment="1">
      <alignment horizontal="center" vertical="center"/>
    </xf>
    <xf numFmtId="49" fontId="18" fillId="0" borderId="42" xfId="0" applyNumberFormat="1" applyFont="1" applyBorder="1" applyAlignment="1">
      <alignment horizontal="center" vertical="center"/>
    </xf>
    <xf numFmtId="49" fontId="18" fillId="0" borderId="35" xfId="0" applyNumberFormat="1" applyFont="1" applyBorder="1" applyAlignment="1">
      <alignment horizontal="center" vertical="center"/>
    </xf>
    <xf numFmtId="49" fontId="18" fillId="0" borderId="30" xfId="0" applyNumberFormat="1" applyFont="1" applyBorder="1" applyAlignment="1">
      <alignment horizontal="center" vertical="center"/>
    </xf>
    <xf numFmtId="49" fontId="18" fillId="0" borderId="32" xfId="0" applyNumberFormat="1" applyFont="1" applyBorder="1" applyAlignment="1">
      <alignment horizontal="center" vertical="center"/>
    </xf>
    <xf numFmtId="49" fontId="18" fillId="0" borderId="31" xfId="0" applyNumberFormat="1" applyFont="1" applyBorder="1" applyAlignment="1">
      <alignment horizontal="center" vertical="center"/>
    </xf>
    <xf numFmtId="0" fontId="0" fillId="0" borderId="77" xfId="0" applyBorder="1" applyAlignment="1">
      <alignment horizontal="center" vertical="center"/>
    </xf>
    <xf numFmtId="0" fontId="0" fillId="0" borderId="46" xfId="0" applyBorder="1" applyAlignment="1">
      <alignment horizontal="center" vertical="center"/>
    </xf>
    <xf numFmtId="0" fontId="0" fillId="0" borderId="73" xfId="0" applyBorder="1" applyAlignment="1">
      <alignment horizontal="center" vertical="center"/>
    </xf>
    <xf numFmtId="49" fontId="18" fillId="0" borderId="14" xfId="0" applyNumberFormat="1" applyFont="1" applyBorder="1" applyAlignment="1">
      <alignment horizontal="center" vertical="center"/>
    </xf>
    <xf numFmtId="49" fontId="18" fillId="0" borderId="53" xfId="0" applyNumberFormat="1" applyFont="1" applyBorder="1" applyAlignment="1">
      <alignment horizontal="center" vertical="center"/>
    </xf>
    <xf numFmtId="0" fontId="0" fillId="0" borderId="53" xfId="0" applyBorder="1" applyAlignment="1">
      <alignment horizontal="center" vertical="center"/>
    </xf>
    <xf numFmtId="49" fontId="18" fillId="0" borderId="49" xfId="0" applyNumberFormat="1" applyFont="1" applyBorder="1" applyAlignment="1">
      <alignment horizontal="center" vertical="center"/>
    </xf>
    <xf numFmtId="49" fontId="18" fillId="0" borderId="43" xfId="0" applyNumberFormat="1" applyFont="1" applyBorder="1" applyAlignment="1">
      <alignment horizontal="center" vertical="center"/>
    </xf>
    <xf numFmtId="0" fontId="7" fillId="2" borderId="32" xfId="0" applyFont="1" applyFill="1" applyBorder="1" applyAlignment="1">
      <alignment horizontal="right" vertical="center"/>
    </xf>
    <xf numFmtId="0" fontId="7" fillId="2" borderId="31" xfId="0" applyFont="1" applyFill="1" applyBorder="1" applyAlignment="1">
      <alignment horizontal="right" vertical="center"/>
    </xf>
    <xf numFmtId="0" fontId="0" fillId="0" borderId="45" xfId="0" applyBorder="1" applyAlignment="1">
      <alignment horizontal="center" vertical="center" wrapText="1"/>
    </xf>
    <xf numFmtId="0" fontId="0" fillId="0" borderId="74" xfId="0" applyBorder="1" applyAlignment="1">
      <alignment horizontal="center" vertical="center"/>
    </xf>
    <xf numFmtId="0" fontId="0" fillId="0" borderId="34" xfId="0" applyBorder="1" applyAlignment="1">
      <alignment horizontal="center" vertical="center"/>
    </xf>
    <xf numFmtId="0" fontId="0" fillId="0" borderId="42" xfId="0" applyBorder="1" applyAlignment="1">
      <alignment horizontal="center" vertical="center"/>
    </xf>
    <xf numFmtId="0" fontId="0" fillId="0" borderId="35" xfId="0" applyBorder="1" applyAlignment="1">
      <alignment horizontal="center" vertical="center"/>
    </xf>
  </cellXfs>
  <cellStyles count="5">
    <cellStyle name="Hyperlink" xfId="4" builtinId="8"/>
    <cellStyle name="Normal" xfId="0" builtinId="0"/>
    <cellStyle name="Normal 2" xfId="1" xr:uid="{834D8F40-8509-4101-A8C6-26EB970D3611}"/>
    <cellStyle name="Normal 3" xfId="2" xr:uid="{82C17168-A57E-4F12-9CB7-9B995A3A0911}"/>
    <cellStyle name="Percent" xfId="3" builtinId="5"/>
  </cellStyles>
  <dxfs count="171">
    <dxf>
      <fill>
        <patternFill>
          <bgColor rgb="FFFF730E"/>
        </patternFill>
      </fill>
    </dxf>
    <dxf>
      <fill>
        <patternFill>
          <bgColor rgb="FFFF730E"/>
        </patternFill>
      </fill>
    </dxf>
    <dxf>
      <fill>
        <patternFill>
          <bgColor rgb="FFFF730E"/>
        </patternFill>
      </fill>
    </dxf>
    <dxf>
      <font>
        <color theme="0"/>
      </font>
      <fill>
        <patternFill>
          <bgColor rgb="FFC4012F"/>
        </patternFill>
      </fill>
    </dxf>
    <dxf>
      <fill>
        <patternFill>
          <bgColor rgb="FFFF730E"/>
        </patternFill>
      </fill>
    </dxf>
    <dxf>
      <fill>
        <patternFill>
          <bgColor rgb="FFFF730E"/>
        </patternFill>
      </fill>
    </dxf>
    <dxf>
      <fill>
        <patternFill>
          <bgColor rgb="FF90EE90"/>
        </patternFill>
      </fill>
    </dxf>
    <dxf>
      <fill>
        <patternFill>
          <bgColor rgb="FFFF0000"/>
        </patternFill>
      </fill>
    </dxf>
    <dxf>
      <fill>
        <patternFill>
          <bgColor rgb="FFFF0000"/>
        </patternFill>
      </fill>
    </dxf>
    <dxf>
      <fill>
        <patternFill>
          <bgColor rgb="FFFF730E"/>
        </patternFill>
      </fill>
    </dxf>
    <dxf>
      <fill>
        <patternFill>
          <bgColor rgb="FFFF730E"/>
        </patternFill>
      </fill>
    </dxf>
    <dxf>
      <fill>
        <patternFill>
          <bgColor rgb="FFFF730E"/>
        </patternFill>
      </fill>
    </dxf>
    <dxf>
      <fill>
        <patternFill>
          <bgColor rgb="FFFF730E"/>
        </patternFill>
      </fill>
    </dxf>
    <dxf>
      <fill>
        <patternFill>
          <bgColor rgb="FFFF730E"/>
        </patternFill>
      </fill>
    </dxf>
    <dxf>
      <fill>
        <patternFill>
          <bgColor rgb="FFFFFF00"/>
        </patternFill>
      </fill>
    </dxf>
    <dxf>
      <fill>
        <patternFill>
          <bgColor rgb="FFFF0000"/>
        </patternFill>
      </fill>
    </dxf>
    <dxf>
      <fill>
        <patternFill>
          <bgColor rgb="FFFF730E"/>
        </patternFill>
      </fill>
    </dxf>
    <dxf>
      <fill>
        <patternFill>
          <bgColor rgb="FFFF0000"/>
        </patternFill>
      </fill>
    </dxf>
    <dxf>
      <fill>
        <patternFill>
          <bgColor rgb="FF90EE90"/>
        </patternFill>
      </fill>
    </dxf>
    <dxf>
      <fill>
        <patternFill>
          <bgColor rgb="FFFF0000"/>
        </patternFill>
      </fill>
    </dxf>
    <dxf>
      <fill>
        <patternFill>
          <bgColor rgb="FFC5050C"/>
        </patternFill>
      </fill>
    </dxf>
    <dxf>
      <fill>
        <patternFill>
          <bgColor rgb="FFFF7C19"/>
        </patternFill>
      </fill>
    </dxf>
    <dxf>
      <fill>
        <patternFill>
          <bgColor rgb="FFFF0000"/>
        </patternFill>
      </fill>
    </dxf>
    <dxf>
      <fill>
        <patternFill>
          <bgColor rgb="FFFF730E"/>
        </patternFill>
      </fill>
    </dxf>
    <dxf>
      <fill>
        <patternFill>
          <bgColor rgb="FFFF0000"/>
        </patternFill>
      </fill>
    </dxf>
    <dxf>
      <fill>
        <patternFill>
          <bgColor rgb="FFFF730E"/>
        </patternFill>
      </fill>
    </dxf>
    <dxf>
      <fill>
        <patternFill>
          <bgColor rgb="FFFF7C19"/>
        </patternFill>
      </fill>
    </dxf>
    <dxf>
      <fill>
        <patternFill>
          <bgColor rgb="FFFFC000"/>
        </patternFill>
      </fill>
    </dxf>
    <dxf>
      <fill>
        <patternFill>
          <bgColor rgb="FF90EE90"/>
        </patternFill>
      </fill>
    </dxf>
    <dxf>
      <fill>
        <patternFill>
          <bgColor rgb="FFFF7C1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0EE90"/>
        </patternFill>
      </fill>
    </dxf>
    <dxf>
      <fill>
        <patternFill>
          <bgColor rgb="FF90EE90"/>
        </patternFill>
      </fill>
    </dxf>
    <dxf>
      <font>
        <strike val="0"/>
      </font>
      <fill>
        <patternFill>
          <bgColor rgb="FFFF0000"/>
        </patternFill>
      </fill>
    </dxf>
    <dxf>
      <fill>
        <patternFill>
          <bgColor rgb="FF90EE90"/>
        </patternFill>
      </fill>
    </dxf>
    <dxf>
      <font>
        <strike val="0"/>
      </font>
      <fill>
        <patternFill>
          <bgColor rgb="FFFF0000"/>
        </patternFill>
      </fill>
    </dxf>
    <dxf>
      <fill>
        <patternFill>
          <bgColor rgb="FFFF0000"/>
        </patternFill>
      </fill>
    </dxf>
    <dxf>
      <fill>
        <patternFill>
          <bgColor rgb="FF90EE90"/>
        </patternFill>
      </fill>
    </dxf>
    <dxf>
      <font>
        <strike val="0"/>
      </font>
      <fill>
        <patternFill>
          <bgColor rgb="FFFF0000"/>
        </patternFill>
      </fill>
    </dxf>
    <dxf>
      <fill>
        <patternFill>
          <bgColor rgb="FFFF7C19"/>
        </patternFill>
      </fill>
    </dxf>
    <dxf>
      <fill>
        <patternFill>
          <bgColor rgb="FFC4012F"/>
        </patternFill>
      </fill>
    </dxf>
    <dxf>
      <fill>
        <patternFill>
          <bgColor rgb="FFFF730E"/>
        </patternFill>
      </fill>
    </dxf>
    <dxf>
      <fill>
        <patternFill>
          <bgColor rgb="FFFF730E"/>
        </patternFill>
      </fill>
    </dxf>
    <dxf>
      <fill>
        <patternFill>
          <bgColor rgb="FFFF730E"/>
        </patternFill>
      </fill>
    </dxf>
    <dxf>
      <fill>
        <patternFill>
          <bgColor rgb="FFFF730E"/>
        </patternFill>
      </fill>
    </dxf>
    <dxf>
      <fill>
        <patternFill>
          <bgColor rgb="FFFF730E"/>
        </patternFill>
      </fill>
    </dxf>
    <dxf>
      <fill>
        <patternFill>
          <bgColor rgb="FFFF730E"/>
        </patternFill>
      </fill>
    </dxf>
    <dxf>
      <fill>
        <patternFill>
          <bgColor rgb="FFC4012F"/>
        </patternFill>
      </fill>
    </dxf>
    <dxf>
      <fill>
        <patternFill>
          <bgColor rgb="FFFF730E"/>
        </patternFill>
      </fill>
    </dxf>
    <dxf>
      <fill>
        <patternFill>
          <bgColor rgb="FFFF730E"/>
        </patternFill>
      </fill>
    </dxf>
    <dxf>
      <fill>
        <patternFill>
          <bgColor rgb="FFFF730E"/>
        </patternFill>
      </fill>
    </dxf>
    <dxf>
      <fill>
        <patternFill>
          <bgColor rgb="FFFF730E"/>
        </patternFill>
      </fill>
    </dxf>
    <dxf>
      <fill>
        <patternFill>
          <bgColor rgb="FFFF730E"/>
        </patternFill>
      </fill>
    </dxf>
    <dxf>
      <font>
        <color theme="0"/>
      </font>
      <fill>
        <patternFill>
          <bgColor rgb="FFC4012F"/>
        </patternFill>
      </fill>
    </dxf>
    <dxf>
      <fill>
        <patternFill>
          <bgColor rgb="FFFF730E"/>
        </patternFill>
      </fill>
    </dxf>
    <dxf>
      <fill>
        <patternFill>
          <bgColor rgb="FFFF730E"/>
        </patternFill>
      </fill>
    </dxf>
    <dxf>
      <fill>
        <patternFill>
          <bgColor rgb="FFFFFF00"/>
        </patternFill>
      </fill>
    </dxf>
    <dxf>
      <fill>
        <patternFill>
          <bgColor rgb="FFFF0000"/>
        </patternFill>
      </fill>
    </dxf>
    <dxf>
      <fill>
        <patternFill>
          <bgColor rgb="FFFF730E"/>
        </patternFill>
      </fill>
    </dxf>
    <dxf>
      <fill>
        <patternFill>
          <bgColor rgb="FFFF730E"/>
        </patternFill>
      </fill>
    </dxf>
    <dxf>
      <fill>
        <patternFill>
          <bgColor rgb="FFFF0000"/>
        </patternFill>
      </fill>
    </dxf>
    <dxf>
      <fill>
        <patternFill>
          <bgColor rgb="FF90EE90"/>
        </patternFill>
      </fill>
    </dxf>
    <dxf>
      <fill>
        <patternFill>
          <bgColor rgb="FFFF0000"/>
        </patternFill>
      </fill>
    </dxf>
    <dxf>
      <fill>
        <patternFill>
          <bgColor rgb="FF90EE90"/>
        </patternFill>
      </fill>
    </dxf>
    <dxf>
      <fill>
        <patternFill>
          <bgColor rgb="FFFF0000"/>
        </patternFill>
      </fill>
    </dxf>
    <dxf>
      <fill>
        <patternFill>
          <bgColor rgb="FFFF7C19"/>
        </patternFill>
      </fill>
    </dxf>
    <dxf>
      <fill>
        <patternFill>
          <bgColor rgb="FFC5050C"/>
        </patternFill>
      </fill>
    </dxf>
    <dxf>
      <fill>
        <patternFill>
          <bgColor rgb="FFFF7C19"/>
        </patternFill>
      </fill>
    </dxf>
    <dxf>
      <fill>
        <patternFill>
          <bgColor rgb="FFFF0000"/>
        </patternFill>
      </fill>
    </dxf>
    <dxf>
      <fill>
        <patternFill>
          <bgColor rgb="FFFF730E"/>
        </patternFill>
      </fill>
    </dxf>
    <dxf>
      <fill>
        <patternFill>
          <bgColor rgb="FFFF0000"/>
        </patternFill>
      </fill>
    </dxf>
    <dxf>
      <fill>
        <patternFill>
          <bgColor rgb="FFFF730E"/>
        </patternFill>
      </fill>
    </dxf>
    <dxf>
      <fill>
        <patternFill>
          <bgColor rgb="FFFF7C19"/>
        </patternFill>
      </fill>
    </dxf>
    <dxf>
      <fill>
        <patternFill>
          <bgColor rgb="FFFFC000"/>
        </patternFill>
      </fill>
    </dxf>
    <dxf>
      <fill>
        <patternFill>
          <bgColor rgb="FF90EE90"/>
        </patternFill>
      </fill>
    </dxf>
    <dxf>
      <fill>
        <patternFill>
          <bgColor rgb="FFFF7C1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0EE90"/>
        </patternFill>
      </fill>
    </dxf>
    <dxf>
      <fill>
        <patternFill>
          <bgColor rgb="FF90EE90"/>
        </patternFill>
      </fill>
    </dxf>
    <dxf>
      <font>
        <strike val="0"/>
      </font>
      <fill>
        <patternFill>
          <bgColor rgb="FFFF0000"/>
        </patternFill>
      </fill>
    </dxf>
    <dxf>
      <fill>
        <patternFill>
          <bgColor rgb="FF90EE90"/>
        </patternFill>
      </fill>
    </dxf>
    <dxf>
      <font>
        <strike val="0"/>
      </font>
      <fill>
        <patternFill>
          <bgColor rgb="FFFF0000"/>
        </patternFill>
      </fill>
    </dxf>
    <dxf>
      <fill>
        <patternFill>
          <bgColor rgb="FFFF0000"/>
        </patternFill>
      </fill>
    </dxf>
    <dxf>
      <fill>
        <patternFill>
          <bgColor rgb="FF90EE90"/>
        </patternFill>
      </fill>
    </dxf>
    <dxf>
      <font>
        <strike val="0"/>
      </font>
      <fill>
        <patternFill>
          <bgColor rgb="FFFF0000"/>
        </patternFill>
      </fill>
    </dxf>
    <dxf>
      <fill>
        <patternFill>
          <bgColor rgb="FFFF7C19"/>
        </patternFill>
      </fill>
    </dxf>
    <dxf>
      <fill>
        <patternFill>
          <bgColor rgb="FFC4012F"/>
        </patternFill>
      </fill>
    </dxf>
    <dxf>
      <fill>
        <patternFill>
          <bgColor rgb="FFFF730E"/>
        </patternFill>
      </fill>
    </dxf>
    <dxf>
      <fill>
        <patternFill>
          <bgColor rgb="FFFF730E"/>
        </patternFill>
      </fill>
    </dxf>
    <dxf>
      <fill>
        <patternFill>
          <bgColor rgb="FFFF0000"/>
        </patternFill>
      </fill>
    </dxf>
    <dxf>
      <fill>
        <patternFill>
          <bgColor rgb="FFFFC000"/>
        </patternFill>
      </fill>
    </dxf>
    <dxf>
      <fill>
        <patternFill>
          <bgColor rgb="FF90EE90"/>
        </patternFill>
      </fill>
      <border>
        <left/>
        <right/>
        <top/>
        <bottom/>
      </border>
    </dxf>
    <dxf>
      <fill>
        <patternFill>
          <bgColor rgb="FFFF0000"/>
        </patternFill>
      </fill>
    </dxf>
    <dxf>
      <fill>
        <patternFill>
          <bgColor rgb="FFFF0000"/>
        </patternFill>
      </fill>
    </dxf>
    <dxf>
      <fill>
        <patternFill>
          <bgColor rgb="FF90EE90"/>
        </patternFill>
      </fill>
    </dxf>
    <dxf>
      <fill>
        <patternFill>
          <bgColor rgb="FF90EE90"/>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730E"/>
        </patternFill>
      </fill>
    </dxf>
    <dxf>
      <fill>
        <patternFill>
          <bgColor rgb="FFFFC000"/>
        </patternFill>
      </fill>
    </dxf>
    <dxf>
      <fill>
        <patternFill>
          <bgColor rgb="FFFF0000"/>
        </patternFill>
      </fill>
    </dxf>
    <dxf>
      <fill>
        <patternFill>
          <bgColor rgb="FF90E99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90EE9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730E"/>
        </patternFill>
      </fill>
    </dxf>
    <dxf>
      <fill>
        <patternFill>
          <bgColor rgb="FFFF730E"/>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730E"/>
        </patternFill>
      </fill>
    </dxf>
    <dxf>
      <fill>
        <patternFill>
          <bgColor rgb="FF90EE90"/>
        </patternFill>
      </fill>
    </dxf>
    <dxf>
      <fill>
        <patternFill>
          <bgColor rgb="FFFF0000"/>
        </patternFill>
      </fill>
    </dxf>
    <dxf>
      <fill>
        <patternFill>
          <bgColor rgb="FFFF0000"/>
        </patternFill>
      </fill>
    </dxf>
    <dxf>
      <fill>
        <patternFill>
          <bgColor rgb="FF90EE90"/>
        </patternFill>
      </fill>
    </dxf>
    <dxf>
      <fill>
        <patternFill>
          <bgColor rgb="FF90EE90"/>
        </patternFill>
      </fill>
    </dxf>
    <dxf>
      <fill>
        <patternFill>
          <bgColor rgb="FFFF0000"/>
        </patternFill>
      </fill>
    </dxf>
    <dxf>
      <fill>
        <patternFill>
          <bgColor rgb="FF90EE90"/>
        </patternFill>
      </fill>
    </dxf>
    <dxf>
      <fill>
        <patternFill>
          <bgColor rgb="FFFF0000"/>
        </patternFill>
      </fill>
    </dxf>
    <dxf>
      <fill>
        <patternFill>
          <bgColor rgb="FFFF730E"/>
        </patternFill>
      </fill>
    </dxf>
    <dxf>
      <fill>
        <patternFill>
          <bgColor rgb="FFFF0000"/>
        </patternFill>
      </fill>
    </dxf>
    <dxf>
      <fill>
        <patternFill>
          <bgColor rgb="FFFF0000"/>
        </patternFill>
      </fill>
    </dxf>
    <dxf>
      <fill>
        <patternFill>
          <bgColor rgb="FF90EE90"/>
        </patternFill>
      </fill>
    </dxf>
    <dxf>
      <font>
        <strike val="0"/>
      </font>
      <fill>
        <patternFill>
          <bgColor rgb="FFFF0000"/>
        </patternFill>
      </fill>
    </dxf>
    <dxf>
      <fill>
        <patternFill>
          <bgColor rgb="FF90EE90"/>
        </patternFill>
      </fill>
    </dxf>
    <dxf>
      <font>
        <strike val="0"/>
      </font>
      <fill>
        <patternFill>
          <bgColor rgb="FFFF0000"/>
        </patternFill>
      </fill>
    </dxf>
    <dxf>
      <fill>
        <patternFill>
          <bgColor rgb="FFFF730E"/>
        </patternFill>
      </fill>
    </dxf>
    <dxf>
      <fill>
        <patternFill>
          <bgColor rgb="FFFF730E"/>
        </patternFill>
      </fill>
    </dxf>
    <dxf>
      <fill>
        <patternFill>
          <bgColor rgb="FF90EE9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730E"/>
      <color rgb="FF90E990"/>
      <color rgb="FF0BE972"/>
      <color rgb="FF90EE90"/>
      <color rgb="FFC4012F"/>
      <color rgb="FFFF7318"/>
      <color rgb="FFFF9118"/>
      <color rgb="FFFF9019"/>
      <color rgb="FFFF7C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mn-lt"/>
                <a:cs typeface="Arial" panose="020B0604020202020204" pitchFamily="34" charset="0"/>
              </a:rPr>
              <a:t>Tarantula Curve</a:t>
            </a:r>
          </a:p>
        </c:rich>
      </c:tx>
      <c:overlay val="1"/>
    </c:title>
    <c:autoTitleDeleted val="0"/>
    <c:plotArea>
      <c:layout>
        <c:manualLayout>
          <c:layoutTarget val="inner"/>
          <c:xMode val="edge"/>
          <c:yMode val="edge"/>
          <c:x val="0.15482723351269623"/>
          <c:y val="0.12683727034120734"/>
          <c:w val="0.7941726330768889"/>
          <c:h val="0.68202810586176732"/>
        </c:manualLayout>
      </c:layout>
      <c:lineChart>
        <c:grouping val="standard"/>
        <c:varyColors val="0"/>
        <c:ser>
          <c:idx val="0"/>
          <c:order val="0"/>
          <c:spPr>
            <a:ln>
              <a:solidFill>
                <a:srgbClr val="FF0000"/>
              </a:solidFill>
            </a:ln>
          </c:spPr>
          <c:marker>
            <c:symbol val="diamond"/>
            <c:size val="9"/>
            <c:spPr>
              <a:solidFill>
                <a:srgbClr val="FF0000"/>
              </a:solidFill>
              <a:ln w="9525">
                <a:solidFill>
                  <a:srgbClr val="FF0000"/>
                </a:solidFill>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Design'!$C$44:$C$56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C746-44D5-A333-8963C7AD2A08}"/>
            </c:ext>
          </c:extLst>
        </c:ser>
        <c:ser>
          <c:idx val="1"/>
          <c:order val="1"/>
          <c:spPr>
            <a:ln w="28575">
              <a:solidFill>
                <a:srgbClr val="0000FF"/>
              </a:solidFill>
              <a:prstDash val="sysDash"/>
            </a:ln>
          </c:spPr>
          <c:marker>
            <c:symbol val="none"/>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'6 Agg Analysis'!$Q$26:$Q$38</c:f>
              <c:numCache>
                <c:formatCode>0</c:formatCode>
                <c:ptCount val="13"/>
                <c:pt idx="0">
                  <c:v>0</c:v>
                </c:pt>
                <c:pt idx="1">
                  <c:v>0</c:v>
                </c:pt>
                <c:pt idx="2">
                  <c:v>0</c:v>
                </c:pt>
                <c:pt idx="3">
                  <c:v>0</c:v>
                </c:pt>
                <c:pt idx="4">
                  <c:v>4</c:v>
                </c:pt>
                <c:pt idx="5">
                  <c:v>4</c:v>
                </c:pt>
                <c:pt idx="6">
                  <c:v>4</c:v>
                </c:pt>
                <c:pt idx="7">
                  <c:v>0</c:v>
                </c:pt>
                <c:pt idx="8">
                  <c:v>0</c:v>
                </c:pt>
                <c:pt idx="9">
                  <c:v>4</c:v>
                </c:pt>
                <c:pt idx="10">
                  <c:v>4</c:v>
                </c:pt>
                <c:pt idx="11">
                  <c:v>0</c:v>
                </c:pt>
                <c:pt idx="12">
                  <c:v>0</c:v>
                </c:pt>
              </c:numCache>
            </c:numRef>
          </c:val>
          <c:smooth val="0"/>
          <c:extLst>
            <c:ext xmlns:c16="http://schemas.microsoft.com/office/drawing/2014/chart" uri="{C3380CC4-5D6E-409C-BE32-E72D297353CC}">
              <c16:uniqueId val="{00000001-C746-44D5-A333-8963C7AD2A08}"/>
            </c:ext>
          </c:extLst>
        </c:ser>
        <c:ser>
          <c:idx val="2"/>
          <c:order val="2"/>
          <c:spPr>
            <a:ln w="28575" cmpd="sng">
              <a:solidFill>
                <a:srgbClr val="0000FF"/>
              </a:solidFill>
              <a:prstDash val="sysDash"/>
            </a:ln>
          </c:spPr>
          <c:marker>
            <c:symbol val="none"/>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'6 Agg Analysis'!$P$26:$P$38</c:f>
              <c:numCache>
                <c:formatCode>0</c:formatCode>
                <c:ptCount val="13"/>
                <c:pt idx="0">
                  <c:v>0</c:v>
                </c:pt>
                <c:pt idx="1">
                  <c:v>5</c:v>
                </c:pt>
                <c:pt idx="2">
                  <c:v>16</c:v>
                </c:pt>
                <c:pt idx="3">
                  <c:v>20</c:v>
                </c:pt>
                <c:pt idx="4">
                  <c:v>20</c:v>
                </c:pt>
                <c:pt idx="5">
                  <c:v>20</c:v>
                </c:pt>
                <c:pt idx="6">
                  <c:v>20</c:v>
                </c:pt>
                <c:pt idx="7">
                  <c:v>12</c:v>
                </c:pt>
                <c:pt idx="8">
                  <c:v>12</c:v>
                </c:pt>
                <c:pt idx="9">
                  <c:v>20</c:v>
                </c:pt>
                <c:pt idx="10">
                  <c:v>20</c:v>
                </c:pt>
                <c:pt idx="11">
                  <c:v>10</c:v>
                </c:pt>
                <c:pt idx="12">
                  <c:v>5</c:v>
                </c:pt>
              </c:numCache>
            </c:numRef>
          </c:val>
          <c:smooth val="0"/>
          <c:extLst>
            <c:ext xmlns:c16="http://schemas.microsoft.com/office/drawing/2014/chart" uri="{C3380CC4-5D6E-409C-BE32-E72D297353CC}">
              <c16:uniqueId val="{00000002-C746-44D5-A333-8963C7AD2A08}"/>
            </c:ext>
          </c:extLst>
        </c:ser>
        <c:dLbls>
          <c:showLegendKey val="0"/>
          <c:showVal val="0"/>
          <c:showCatName val="0"/>
          <c:showSerName val="0"/>
          <c:showPercent val="0"/>
          <c:showBubbleSize val="0"/>
        </c:dLbls>
        <c:marker val="1"/>
        <c:smooth val="0"/>
        <c:axId val="241588800"/>
        <c:axId val="241589192"/>
      </c:lineChart>
      <c:catAx>
        <c:axId val="241588800"/>
        <c:scaling>
          <c:orientation val="minMax"/>
        </c:scaling>
        <c:delete val="0"/>
        <c:axPos val="b"/>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latin typeface="+mn-lt"/>
                  </a:rPr>
                  <a:t>Sieve</a:t>
                </a:r>
              </a:p>
            </c:rich>
          </c:tx>
          <c:layout>
            <c:manualLayout>
              <c:xMode val="edge"/>
              <c:yMode val="edge"/>
              <c:x val="0.50819770104914164"/>
              <c:y val="0.908588392624283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975" b="1" i="0" u="none" strike="noStrike" baseline="0">
                <a:solidFill>
                  <a:srgbClr val="000000"/>
                </a:solidFill>
                <a:latin typeface="+mn-lt"/>
                <a:ea typeface="Arial"/>
                <a:cs typeface="Arial"/>
              </a:defRPr>
            </a:pPr>
            <a:endParaRPr lang="en-US"/>
          </a:p>
        </c:txPr>
        <c:crossAx val="241589192"/>
        <c:crosses val="autoZero"/>
        <c:auto val="0"/>
        <c:lblAlgn val="ctr"/>
        <c:lblOffset val="100"/>
        <c:tickLblSkip val="1"/>
        <c:tickMarkSkip val="1"/>
        <c:noMultiLvlLbl val="0"/>
      </c:catAx>
      <c:valAx>
        <c:axId val="241589192"/>
        <c:scaling>
          <c:orientation val="minMax"/>
        </c:scaling>
        <c:delete val="0"/>
        <c:axPos val="l"/>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latin typeface="+mn-lt"/>
                  </a:rPr>
                  <a:t>Percent Retained, % Vol</a:t>
                </a:r>
              </a:p>
            </c:rich>
          </c:tx>
          <c:layout>
            <c:manualLayout>
              <c:xMode val="edge"/>
              <c:yMode val="edge"/>
              <c:x val="9.1074622983256248E-3"/>
              <c:y val="0.10561528366646476"/>
            </c:manualLayout>
          </c:layout>
          <c:overlay val="0"/>
          <c:spPr>
            <a:noFill/>
            <a:ln w="25400">
              <a:noFill/>
            </a:ln>
          </c:spPr>
        </c:title>
        <c:numFmt formatCode="0;[Red]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en-US"/>
          </a:p>
        </c:txPr>
        <c:crossAx val="241588800"/>
        <c:crosses val="autoZero"/>
        <c:crossBetween val="midCat"/>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mn-lt"/>
              </a:rPr>
              <a:t>Indv. Percent</a:t>
            </a:r>
            <a:r>
              <a:rPr lang="en-US" sz="1600" baseline="0">
                <a:latin typeface="+mn-lt"/>
              </a:rPr>
              <a:t> Passing</a:t>
            </a:r>
            <a:endParaRPr lang="en-US" sz="1600">
              <a:latin typeface="+mn-lt"/>
            </a:endParaRP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3"/>
          <c:order val="0"/>
          <c:tx>
            <c:strRef>
              <c:f>'2 Aggregate System'!$A$13</c:f>
              <c:strCache>
                <c:ptCount val="1"/>
                <c:pt idx="0">
                  <c:v>Coarse A</c:v>
                </c:pt>
              </c:strCache>
            </c:strRef>
          </c:tx>
          <c:marker>
            <c:symbol val="circle"/>
            <c:size val="6"/>
            <c:spPr>
              <a:no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System'!$B$26:$B$38</c:f>
              <c:numCache>
                <c:formatCode>0.0</c:formatCode>
                <c:ptCount val="13"/>
              </c:numCache>
            </c:numRef>
          </c:val>
          <c:smooth val="0"/>
          <c:extLst>
            <c:ext xmlns:c16="http://schemas.microsoft.com/office/drawing/2014/chart" uri="{C3380CC4-5D6E-409C-BE32-E72D297353CC}">
              <c16:uniqueId val="{00000000-4220-4501-9F77-C4DFD0B19321}"/>
            </c:ext>
          </c:extLst>
        </c:ser>
        <c:ser>
          <c:idx val="4"/>
          <c:order val="1"/>
          <c:tx>
            <c:strRef>
              <c:f>'2 Aggregate System'!$A$14</c:f>
              <c:strCache>
                <c:ptCount val="1"/>
                <c:pt idx="0">
                  <c:v>Coarse B</c:v>
                </c:pt>
              </c:strCache>
            </c:strRef>
          </c:tx>
          <c:marker>
            <c:symbol val="square"/>
            <c:size val="5"/>
            <c:spPr>
              <a:noFill/>
              <a:ln>
                <a:solidFill>
                  <a:srgbClr val="800080"/>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System'!$C$26:$C$38</c:f>
              <c:numCache>
                <c:formatCode>0.0</c:formatCode>
                <c:ptCount val="13"/>
              </c:numCache>
            </c:numRef>
          </c:val>
          <c:smooth val="0"/>
          <c:extLst>
            <c:ext xmlns:c16="http://schemas.microsoft.com/office/drawing/2014/chart" uri="{C3380CC4-5D6E-409C-BE32-E72D297353CC}">
              <c16:uniqueId val="{00000001-4220-4501-9F77-C4DFD0B19321}"/>
            </c:ext>
          </c:extLst>
        </c:ser>
        <c:ser>
          <c:idx val="0"/>
          <c:order val="2"/>
          <c:tx>
            <c:strRef>
              <c:f>'2 Aggregate System'!$A$15</c:f>
              <c:strCache>
                <c:ptCount val="1"/>
                <c:pt idx="0">
                  <c:v>Coarse C</c:v>
                </c:pt>
              </c:strCache>
            </c:strRef>
          </c:tx>
          <c:marker>
            <c:symbol val="triangle"/>
            <c:size val="5"/>
            <c:spPr>
              <a:solidFill>
                <a:srgbClr val="FFFFFF"/>
              </a:solidFill>
              <a:ln>
                <a:solidFill>
                  <a:srgbClr val="000000"/>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System'!$D$26:$D$38</c:f>
              <c:numCache>
                <c:formatCode>0.0</c:formatCode>
                <c:ptCount val="13"/>
              </c:numCache>
            </c:numRef>
          </c:val>
          <c:smooth val="0"/>
          <c:extLst>
            <c:ext xmlns:c16="http://schemas.microsoft.com/office/drawing/2014/chart" uri="{C3380CC4-5D6E-409C-BE32-E72D297353CC}">
              <c16:uniqueId val="{00000002-4220-4501-9F77-C4DFD0B19321}"/>
            </c:ext>
          </c:extLst>
        </c:ser>
        <c:ser>
          <c:idx val="1"/>
          <c:order val="3"/>
          <c:tx>
            <c:strRef>
              <c:f>'2 Aggregate System'!$A$16</c:f>
              <c:strCache>
                <c:ptCount val="1"/>
                <c:pt idx="0">
                  <c:v>Fine A</c:v>
                </c:pt>
              </c:strCache>
            </c:strRef>
          </c:tx>
          <c:val>
            <c:numRef>
              <c:f>'2 Aggregate System'!$E$26:$E$38</c:f>
              <c:numCache>
                <c:formatCode>0.0</c:formatCode>
                <c:ptCount val="13"/>
              </c:numCache>
            </c:numRef>
          </c:val>
          <c:smooth val="0"/>
          <c:extLst>
            <c:ext xmlns:c16="http://schemas.microsoft.com/office/drawing/2014/chart" uri="{C3380CC4-5D6E-409C-BE32-E72D297353CC}">
              <c16:uniqueId val="{00000003-4220-4501-9F77-C4DFD0B19321}"/>
            </c:ext>
          </c:extLst>
        </c:ser>
        <c:ser>
          <c:idx val="2"/>
          <c:order val="4"/>
          <c:tx>
            <c:strRef>
              <c:f>'2 Aggregate System'!$A$17</c:f>
              <c:strCache>
                <c:ptCount val="1"/>
                <c:pt idx="0">
                  <c:v>Fine B</c:v>
                </c:pt>
              </c:strCache>
            </c:strRef>
          </c:tx>
          <c:val>
            <c:numRef>
              <c:f>'2 Aggregate System'!$F$26:$F$38</c:f>
              <c:numCache>
                <c:formatCode>0.0</c:formatCode>
                <c:ptCount val="13"/>
              </c:numCache>
            </c:numRef>
          </c:val>
          <c:smooth val="0"/>
          <c:extLst>
            <c:ext xmlns:c16="http://schemas.microsoft.com/office/drawing/2014/chart" uri="{C3380CC4-5D6E-409C-BE32-E72D297353CC}">
              <c16:uniqueId val="{00000004-4220-4501-9F77-C4DFD0B19321}"/>
            </c:ext>
          </c:extLst>
        </c:ser>
        <c:dLbls>
          <c:showLegendKey val="0"/>
          <c:showVal val="0"/>
          <c:showCatName val="0"/>
          <c:showSerName val="0"/>
          <c:showPercent val="0"/>
          <c:showBubbleSize val="0"/>
        </c:dLbls>
        <c:marker val="1"/>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a:t>Sieve</a:t>
                </a:r>
              </a:p>
            </c:rich>
          </c:tx>
          <c:layout>
            <c:manualLayout>
              <c:xMode val="edge"/>
              <c:yMode val="edge"/>
              <c:x val="0.43772972707235747"/>
              <c:y val="0.8702118106241582"/>
            </c:manualLayout>
          </c:layout>
          <c:overlay val="0"/>
          <c:spPr>
            <a:noFill/>
            <a:ln w="25400">
              <a:noFill/>
            </a:ln>
          </c:spPr>
        </c:title>
        <c:numFmt formatCode="General" sourceLinked="1"/>
        <c:majorTickMark val="out"/>
        <c:minorTickMark val="none"/>
        <c:tickLblPos val="nextTo"/>
        <c:spPr>
          <a:ln w="3175">
            <a:solidFill>
              <a:schemeClr val="bg1">
                <a:lumMod val="50000"/>
              </a:schemeClr>
            </a:solidFill>
            <a:prstDash val="solid"/>
          </a:ln>
        </c:spPr>
        <c:txPr>
          <a:bodyPr rot="0" vert="horz"/>
          <a:lstStyle/>
          <a:p>
            <a:pPr>
              <a:defRPr sz="1125" b="1" i="0" u="none" strike="noStrike" baseline="0">
                <a:solidFill>
                  <a:srgbClr val="000000"/>
                </a:solidFill>
                <a:latin typeface="Arial"/>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min val="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Passing, % Weight</a:t>
                </a:r>
              </a:p>
            </c:rich>
          </c:tx>
          <c:layout>
            <c:manualLayout>
              <c:xMode val="edge"/>
              <c:yMode val="edge"/>
              <c:x val="2.8451048478952527E-2"/>
              <c:y val="0.1770953085122375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legend>
      <c:legendPos val="b"/>
      <c:layout>
        <c:manualLayout>
          <c:xMode val="edge"/>
          <c:yMode val="edge"/>
          <c:x val="6.4852247267218555E-2"/>
          <c:y val="0.92078312784638139"/>
          <c:w val="0.82404720221626826"/>
          <c:h val="5.1445519555114103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2000">
                <a:latin typeface="+mn-lt"/>
              </a:rPr>
              <a:t>Percent</a:t>
            </a:r>
            <a:r>
              <a:rPr lang="en-US" sz="2000" baseline="0">
                <a:latin typeface="+mn-lt"/>
              </a:rPr>
              <a:t> Retained by Weight</a:t>
            </a:r>
            <a:r>
              <a:rPr lang="en-US" sz="2000">
                <a:latin typeface="+mn-lt"/>
              </a:rPr>
              <a:t> </a:t>
            </a:r>
          </a:p>
        </c:rich>
      </c:tx>
      <c:layout>
        <c:manualLayout>
          <c:xMode val="edge"/>
          <c:yMode val="edge"/>
          <c:x val="0.29420218633300654"/>
          <c:y val="1.6542408538789223E-2"/>
        </c:manualLayout>
      </c:layout>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3"/>
          <c:order val="0"/>
          <c:tx>
            <c:strRef>
              <c:f>'2 Aggregate System'!$A$13</c:f>
              <c:strCache>
                <c:ptCount val="1"/>
                <c:pt idx="0">
                  <c:v>Coarse A</c:v>
                </c:pt>
              </c:strCache>
            </c:strRef>
          </c:tx>
          <c:spPr>
            <a:ln>
              <a:solidFill>
                <a:srgbClr val="0070C0"/>
              </a:solidFill>
            </a:ln>
          </c:spPr>
          <c:marker>
            <c:symbol val="circle"/>
            <c:size val="6"/>
            <c:spPr>
              <a:no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'6 Agg Analysis'!$AB$8:$AB$20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6449-4FD8-BB7A-45178D975F74}"/>
            </c:ext>
          </c:extLst>
        </c:ser>
        <c:ser>
          <c:idx val="4"/>
          <c:order val="1"/>
          <c:tx>
            <c:strRef>
              <c:f>'2 Aggregate System'!$A$14</c:f>
              <c:strCache>
                <c:ptCount val="1"/>
                <c:pt idx="0">
                  <c:v>Coarse B</c:v>
                </c:pt>
              </c:strCache>
            </c:strRef>
          </c:tx>
          <c:spPr>
            <a:ln>
              <a:solidFill>
                <a:srgbClr val="00B0F0"/>
              </a:solidFill>
            </a:ln>
          </c:spPr>
          <c:marker>
            <c:symbol val="square"/>
            <c:size val="5"/>
            <c:spPr>
              <a:no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'6 Agg Analysis'!$AC$8:$AC$20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6449-4FD8-BB7A-45178D975F74}"/>
            </c:ext>
          </c:extLst>
        </c:ser>
        <c:ser>
          <c:idx val="0"/>
          <c:order val="2"/>
          <c:tx>
            <c:strRef>
              <c:f>'2 Aggregate System'!$A$15</c:f>
              <c:strCache>
                <c:ptCount val="1"/>
                <c:pt idx="0">
                  <c:v>Coarse C</c:v>
                </c:pt>
              </c:strCache>
            </c:strRef>
          </c:tx>
          <c:spPr>
            <a:ln>
              <a:solidFill>
                <a:schemeClr val="accent1">
                  <a:lumMod val="60000"/>
                  <a:lumOff val="40000"/>
                </a:schemeClr>
              </a:solidFill>
            </a:ln>
          </c:spPr>
          <c:marker>
            <c:symbol val="triangle"/>
            <c:size val="5"/>
            <c:spPr>
              <a:solidFill>
                <a:srgbClr val="FFFFFF"/>
              </a:solid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'6 Agg Analysis'!$AD$8:$AD$20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6449-4FD8-BB7A-45178D975F74}"/>
            </c:ext>
          </c:extLst>
        </c:ser>
        <c:ser>
          <c:idx val="1"/>
          <c:order val="3"/>
          <c:tx>
            <c:strRef>
              <c:f>'2 Aggregate System'!$A$16</c:f>
              <c:strCache>
                <c:ptCount val="1"/>
                <c:pt idx="0">
                  <c:v>Fine A</c:v>
                </c:pt>
              </c:strCache>
            </c:strRef>
          </c:tx>
          <c:val>
            <c:numRef>
              <c:f>'6 Agg Analysis'!$AE$8:$AE$20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3-6449-4FD8-BB7A-45178D975F74}"/>
            </c:ext>
          </c:extLst>
        </c:ser>
        <c:ser>
          <c:idx val="2"/>
          <c:order val="4"/>
          <c:tx>
            <c:strRef>
              <c:f>'2 Aggregate System'!$A$17</c:f>
              <c:strCache>
                <c:ptCount val="1"/>
                <c:pt idx="0">
                  <c:v>Fine B</c:v>
                </c:pt>
              </c:strCache>
            </c:strRef>
          </c:tx>
          <c:spPr>
            <a:ln>
              <a:solidFill>
                <a:schemeClr val="accent4"/>
              </a:solidFill>
            </a:ln>
          </c:spPr>
          <c:marker>
            <c:spPr>
              <a:solidFill>
                <a:schemeClr val="accent4"/>
              </a:solidFill>
              <a:ln>
                <a:solidFill>
                  <a:schemeClr val="accent4"/>
                </a:solidFill>
              </a:ln>
            </c:spPr>
          </c:marker>
          <c:val>
            <c:numRef>
              <c:f>'6 Agg Analysis'!$AF$8:$AF$20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4-6449-4FD8-BB7A-45178D975F74}"/>
            </c:ext>
          </c:extLst>
        </c:ser>
        <c:dLbls>
          <c:showLegendKey val="0"/>
          <c:showVal val="0"/>
          <c:showCatName val="0"/>
          <c:showSerName val="0"/>
          <c:showPercent val="0"/>
          <c:showBubbleSize val="0"/>
        </c:dLbls>
        <c:marker val="1"/>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Percent Retained, %</a:t>
                </a:r>
                <a:r>
                  <a:rPr lang="en-US" sz="1600" baseline="0">
                    <a:latin typeface="+mn-lt"/>
                  </a:rPr>
                  <a:t> Weight</a:t>
                </a:r>
                <a:endParaRPr lang="en-US" sz="1600">
                  <a:latin typeface="+mn-lt"/>
                </a:endParaRPr>
              </a:p>
            </c:rich>
          </c:tx>
          <c:layout>
            <c:manualLayout>
              <c:xMode val="edge"/>
              <c:yMode val="edge"/>
              <c:x val="2.8451048478952527E-2"/>
              <c:y val="0.177095308512237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legend>
      <c:legendPos val="r"/>
      <c:layout>
        <c:manualLayout>
          <c:xMode val="edge"/>
          <c:yMode val="edge"/>
          <c:x val="0.73368913644834133"/>
          <c:y val="0.12811371470132499"/>
          <c:w val="0.19996009684691501"/>
          <c:h val="0.30865442896372336"/>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2000">
                <a:latin typeface="+mn-lt"/>
              </a:rPr>
              <a:t>Tarantula Curve</a:t>
            </a:r>
          </a:p>
        </c:rich>
      </c:tx>
      <c:overlay val="1"/>
    </c:title>
    <c:autoTitleDeleted val="0"/>
    <c:plotArea>
      <c:layout>
        <c:manualLayout>
          <c:layoutTarget val="inner"/>
          <c:xMode val="edge"/>
          <c:yMode val="edge"/>
          <c:x val="0.15482723351269623"/>
          <c:y val="0.12683727034120734"/>
          <c:w val="0.7941726330768889"/>
          <c:h val="0.68202810586176732"/>
        </c:manualLayout>
      </c:layout>
      <c:lineChart>
        <c:grouping val="standard"/>
        <c:varyColors val="0"/>
        <c:ser>
          <c:idx val="0"/>
          <c:order val="0"/>
          <c:spPr>
            <a:ln>
              <a:solidFill>
                <a:srgbClr val="FF0000"/>
              </a:solidFill>
            </a:ln>
          </c:spPr>
          <c:marker>
            <c:symbol val="diamond"/>
            <c:size val="9"/>
            <c:spPr>
              <a:solidFill>
                <a:srgbClr val="FF0000"/>
              </a:solidFill>
              <a:ln w="9525">
                <a:solidFill>
                  <a:srgbClr val="FF0000"/>
                </a:solidFill>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Design'!$C$44:$C$56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4AC6-4D9F-AAD9-545E41FEF6BA}"/>
            </c:ext>
          </c:extLst>
        </c:ser>
        <c:ser>
          <c:idx val="1"/>
          <c:order val="1"/>
          <c:spPr>
            <a:ln w="38100">
              <a:solidFill>
                <a:srgbClr val="0000FF"/>
              </a:solidFill>
              <a:prstDash val="sysDash"/>
            </a:ln>
          </c:spPr>
          <c:marker>
            <c:symbol val="none"/>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'6 Agg Analysis'!$Q$26:$Q$38</c:f>
              <c:numCache>
                <c:formatCode>0</c:formatCode>
                <c:ptCount val="13"/>
                <c:pt idx="0">
                  <c:v>0</c:v>
                </c:pt>
                <c:pt idx="1">
                  <c:v>0</c:v>
                </c:pt>
                <c:pt idx="2">
                  <c:v>0</c:v>
                </c:pt>
                <c:pt idx="3">
                  <c:v>0</c:v>
                </c:pt>
                <c:pt idx="4">
                  <c:v>4</c:v>
                </c:pt>
                <c:pt idx="5">
                  <c:v>4</c:v>
                </c:pt>
                <c:pt idx="6">
                  <c:v>4</c:v>
                </c:pt>
                <c:pt idx="7">
                  <c:v>0</c:v>
                </c:pt>
                <c:pt idx="8">
                  <c:v>0</c:v>
                </c:pt>
                <c:pt idx="9">
                  <c:v>4</c:v>
                </c:pt>
                <c:pt idx="10">
                  <c:v>4</c:v>
                </c:pt>
                <c:pt idx="11">
                  <c:v>0</c:v>
                </c:pt>
                <c:pt idx="12">
                  <c:v>0</c:v>
                </c:pt>
              </c:numCache>
            </c:numRef>
          </c:val>
          <c:smooth val="0"/>
          <c:extLst>
            <c:ext xmlns:c16="http://schemas.microsoft.com/office/drawing/2014/chart" uri="{C3380CC4-5D6E-409C-BE32-E72D297353CC}">
              <c16:uniqueId val="{00000001-4AC6-4D9F-AAD9-545E41FEF6BA}"/>
            </c:ext>
          </c:extLst>
        </c:ser>
        <c:ser>
          <c:idx val="2"/>
          <c:order val="2"/>
          <c:spPr>
            <a:ln w="38100" cmpd="sng">
              <a:solidFill>
                <a:srgbClr val="0000FF"/>
              </a:solidFill>
              <a:prstDash val="sysDash"/>
            </a:ln>
          </c:spPr>
          <c:marker>
            <c:symbol val="none"/>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'6 Agg Analysis'!$P$26:$P$38</c:f>
              <c:numCache>
                <c:formatCode>0</c:formatCode>
                <c:ptCount val="13"/>
                <c:pt idx="0">
                  <c:v>0</c:v>
                </c:pt>
                <c:pt idx="1">
                  <c:v>5</c:v>
                </c:pt>
                <c:pt idx="2">
                  <c:v>16</c:v>
                </c:pt>
                <c:pt idx="3">
                  <c:v>20</c:v>
                </c:pt>
                <c:pt idx="4">
                  <c:v>20</c:v>
                </c:pt>
                <c:pt idx="5">
                  <c:v>20</c:v>
                </c:pt>
                <c:pt idx="6">
                  <c:v>20</c:v>
                </c:pt>
                <c:pt idx="7">
                  <c:v>12</c:v>
                </c:pt>
                <c:pt idx="8">
                  <c:v>12</c:v>
                </c:pt>
                <c:pt idx="9">
                  <c:v>20</c:v>
                </c:pt>
                <c:pt idx="10">
                  <c:v>20</c:v>
                </c:pt>
                <c:pt idx="11">
                  <c:v>10</c:v>
                </c:pt>
                <c:pt idx="12">
                  <c:v>5</c:v>
                </c:pt>
              </c:numCache>
            </c:numRef>
          </c:val>
          <c:smooth val="0"/>
          <c:extLst>
            <c:ext xmlns:c16="http://schemas.microsoft.com/office/drawing/2014/chart" uri="{C3380CC4-5D6E-409C-BE32-E72D297353CC}">
              <c16:uniqueId val="{00000002-4AC6-4D9F-AAD9-545E41FEF6BA}"/>
            </c:ext>
          </c:extLst>
        </c:ser>
        <c:dLbls>
          <c:showLegendKey val="0"/>
          <c:showVal val="0"/>
          <c:showCatName val="0"/>
          <c:showSerName val="0"/>
          <c:showPercent val="0"/>
          <c:showBubbleSize val="0"/>
        </c:dLbls>
        <c:marker val="1"/>
        <c:smooth val="0"/>
        <c:axId val="241588800"/>
        <c:axId val="241589192"/>
      </c:lineChart>
      <c:catAx>
        <c:axId val="241588800"/>
        <c:scaling>
          <c:orientation val="minMax"/>
        </c:scaling>
        <c:delete val="0"/>
        <c:axPos val="b"/>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Sieve</a:t>
                </a:r>
                <a:endParaRPr lang="en-US">
                  <a:latin typeface="+mn-lt"/>
                </a:endParaRPr>
              </a:p>
            </c:rich>
          </c:tx>
          <c:layout>
            <c:manualLayout>
              <c:xMode val="edge"/>
              <c:yMode val="edge"/>
              <c:x val="0.50819770104914164"/>
              <c:y val="0.908588392624283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1" i="0" u="none" strike="noStrike" baseline="0">
                <a:solidFill>
                  <a:srgbClr val="000000"/>
                </a:solidFill>
                <a:latin typeface="+mn-lt"/>
                <a:ea typeface="Arial"/>
                <a:cs typeface="Arial"/>
              </a:defRPr>
            </a:pPr>
            <a:endParaRPr lang="en-US"/>
          </a:p>
        </c:txPr>
        <c:crossAx val="241589192"/>
        <c:crosses val="autoZero"/>
        <c:auto val="0"/>
        <c:lblAlgn val="ctr"/>
        <c:lblOffset val="100"/>
        <c:tickLblSkip val="1"/>
        <c:tickMarkSkip val="1"/>
        <c:noMultiLvlLbl val="0"/>
      </c:catAx>
      <c:valAx>
        <c:axId val="241589192"/>
        <c:scaling>
          <c:orientation val="minMax"/>
        </c:scaling>
        <c:delete val="0"/>
        <c:axPos val="l"/>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Percent Retained, % Vol</a:t>
                </a:r>
              </a:p>
            </c:rich>
          </c:tx>
          <c:layout>
            <c:manualLayout>
              <c:xMode val="edge"/>
              <c:yMode val="edge"/>
              <c:x val="3.9801221076056964E-2"/>
              <c:y val="0.26038820261511708"/>
            </c:manualLayout>
          </c:layout>
          <c:overlay val="0"/>
          <c:spPr>
            <a:noFill/>
            <a:ln w="25400">
              <a:noFill/>
            </a:ln>
          </c:spPr>
        </c:title>
        <c:numFmt formatCode="0;[Red]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en-US"/>
          </a:p>
        </c:txPr>
        <c:crossAx val="241588800"/>
        <c:crosses val="autoZero"/>
        <c:crossBetween val="midCat"/>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mn-lt"/>
              </a:rPr>
              <a:t>Percent</a:t>
            </a:r>
            <a:r>
              <a:rPr lang="en-US" sz="1600" baseline="0">
                <a:latin typeface="+mn-lt"/>
              </a:rPr>
              <a:t> Retained</a:t>
            </a:r>
            <a:r>
              <a:rPr lang="en-US" sz="1600">
                <a:latin typeface="+mn-lt"/>
              </a:rPr>
              <a:t> by Weight</a:t>
            </a:r>
          </a:p>
        </c:rich>
      </c:tx>
      <c:layout>
        <c:manualLayout>
          <c:xMode val="edge"/>
          <c:yMode val="edge"/>
          <c:x val="0.32535616160290148"/>
          <c:y val="1.6542532544502019E-2"/>
        </c:manualLayout>
      </c:layout>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3"/>
          <c:order val="0"/>
          <c:tx>
            <c:strRef>
              <c:f>'2 Aggregate System'!$A$13</c:f>
              <c:strCache>
                <c:ptCount val="1"/>
                <c:pt idx="0">
                  <c:v>Coarse A</c:v>
                </c:pt>
              </c:strCache>
            </c:strRef>
          </c:tx>
          <c:spPr>
            <a:ln>
              <a:solidFill>
                <a:srgbClr val="0070C0"/>
              </a:solidFill>
            </a:ln>
          </c:spPr>
          <c:marker>
            <c:symbol val="circle"/>
            <c:size val="6"/>
            <c:spPr>
              <a:no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'6 Agg Analysis'!$AB$8:$AB$20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630A-4A4A-BEA8-9A61E3B1248D}"/>
            </c:ext>
          </c:extLst>
        </c:ser>
        <c:ser>
          <c:idx val="4"/>
          <c:order val="1"/>
          <c:tx>
            <c:strRef>
              <c:f>'2 Aggregate System'!$A$14</c:f>
              <c:strCache>
                <c:ptCount val="1"/>
                <c:pt idx="0">
                  <c:v>Coarse B</c:v>
                </c:pt>
              </c:strCache>
            </c:strRef>
          </c:tx>
          <c:spPr>
            <a:ln>
              <a:solidFill>
                <a:srgbClr val="00B0F0"/>
              </a:solidFill>
            </a:ln>
          </c:spPr>
          <c:marker>
            <c:symbol val="square"/>
            <c:size val="5"/>
            <c:spPr>
              <a:no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'6 Agg Analysis'!$AC$8:$AC$20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630A-4A4A-BEA8-9A61E3B1248D}"/>
            </c:ext>
          </c:extLst>
        </c:ser>
        <c:ser>
          <c:idx val="0"/>
          <c:order val="2"/>
          <c:tx>
            <c:strRef>
              <c:f>'2 Aggregate System'!$A$15</c:f>
              <c:strCache>
                <c:ptCount val="1"/>
                <c:pt idx="0">
                  <c:v>Coarse C</c:v>
                </c:pt>
              </c:strCache>
            </c:strRef>
          </c:tx>
          <c:spPr>
            <a:ln>
              <a:solidFill>
                <a:schemeClr val="accent1">
                  <a:lumMod val="60000"/>
                  <a:lumOff val="40000"/>
                </a:schemeClr>
              </a:solidFill>
            </a:ln>
          </c:spPr>
          <c:marker>
            <c:symbol val="triangle"/>
            <c:size val="5"/>
            <c:spPr>
              <a:solidFill>
                <a:srgbClr val="FFFFFF"/>
              </a:solid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'6 Agg Analysis'!$AD$8:$AD$20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630A-4A4A-BEA8-9A61E3B1248D}"/>
            </c:ext>
          </c:extLst>
        </c:ser>
        <c:ser>
          <c:idx val="1"/>
          <c:order val="3"/>
          <c:tx>
            <c:strRef>
              <c:f>'2 Aggregate System'!$A$16</c:f>
              <c:strCache>
                <c:ptCount val="1"/>
                <c:pt idx="0">
                  <c:v>Fine A</c:v>
                </c:pt>
              </c:strCache>
            </c:strRef>
          </c:tx>
          <c:val>
            <c:numRef>
              <c:f>'6 Agg Analysis'!$AE$8:$AE$20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3-630A-4A4A-BEA8-9A61E3B1248D}"/>
            </c:ext>
          </c:extLst>
        </c:ser>
        <c:ser>
          <c:idx val="2"/>
          <c:order val="4"/>
          <c:tx>
            <c:strRef>
              <c:f>'2 Aggregate System'!$A$17</c:f>
              <c:strCache>
                <c:ptCount val="1"/>
                <c:pt idx="0">
                  <c:v>Fine B</c:v>
                </c:pt>
              </c:strCache>
            </c:strRef>
          </c:tx>
          <c:spPr>
            <a:ln>
              <a:solidFill>
                <a:schemeClr val="accent4"/>
              </a:solidFill>
            </a:ln>
          </c:spPr>
          <c:marker>
            <c:spPr>
              <a:solidFill>
                <a:schemeClr val="accent4"/>
              </a:solidFill>
              <a:ln>
                <a:solidFill>
                  <a:schemeClr val="accent4"/>
                </a:solidFill>
              </a:ln>
            </c:spPr>
          </c:marker>
          <c:val>
            <c:numRef>
              <c:f>'6 Agg Analysis'!$AF$8:$AF$20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4-630A-4A4A-BEA8-9A61E3B1248D}"/>
            </c:ext>
          </c:extLst>
        </c:ser>
        <c:dLbls>
          <c:showLegendKey val="0"/>
          <c:showVal val="0"/>
          <c:showCatName val="0"/>
          <c:showSerName val="0"/>
          <c:showPercent val="0"/>
          <c:showBubbleSize val="0"/>
        </c:dLbls>
        <c:marker val="1"/>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Percent Retained, % Weight</a:t>
                </a:r>
              </a:p>
            </c:rich>
          </c:tx>
          <c:layout>
            <c:manualLayout>
              <c:xMode val="edge"/>
              <c:yMode val="edge"/>
              <c:x val="2.8451048478952527E-2"/>
              <c:y val="0.177095308512237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legend>
      <c:legendPos val="r"/>
      <c:layout>
        <c:manualLayout>
          <c:xMode val="edge"/>
          <c:yMode val="edge"/>
          <c:x val="0.78849379576513023"/>
          <c:y val="0.12811367247821648"/>
          <c:w val="0.15465248043695495"/>
          <c:h val="0.30865442896372336"/>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2000">
                <a:latin typeface="+mn-lt"/>
              </a:rPr>
              <a:t>Tarantula Curve</a:t>
            </a:r>
          </a:p>
        </c:rich>
      </c:tx>
      <c:overlay val="1"/>
    </c:title>
    <c:autoTitleDeleted val="0"/>
    <c:plotArea>
      <c:layout>
        <c:manualLayout>
          <c:layoutTarget val="inner"/>
          <c:xMode val="edge"/>
          <c:yMode val="edge"/>
          <c:x val="0.15482723351269623"/>
          <c:y val="0.12683727034120734"/>
          <c:w val="0.7941726330768889"/>
          <c:h val="0.68202810586176732"/>
        </c:manualLayout>
      </c:layout>
      <c:lineChart>
        <c:grouping val="standard"/>
        <c:varyColors val="0"/>
        <c:ser>
          <c:idx val="0"/>
          <c:order val="0"/>
          <c:spPr>
            <a:ln>
              <a:solidFill>
                <a:srgbClr val="FF0000"/>
              </a:solidFill>
            </a:ln>
          </c:spPr>
          <c:marker>
            <c:symbol val="diamond"/>
            <c:size val="9"/>
            <c:spPr>
              <a:solidFill>
                <a:srgbClr val="FF0000"/>
              </a:solidFill>
              <a:ln w="9525">
                <a:solidFill>
                  <a:srgbClr val="FF0000"/>
                </a:solidFill>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'Optimize Tool'!$C$45:$C$57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2C10-4691-809F-66D54F61AFE6}"/>
            </c:ext>
          </c:extLst>
        </c:ser>
        <c:ser>
          <c:idx val="1"/>
          <c:order val="1"/>
          <c:spPr>
            <a:ln w="38100">
              <a:solidFill>
                <a:srgbClr val="0000FF"/>
              </a:solidFill>
              <a:prstDash val="sysDash"/>
            </a:ln>
          </c:spPr>
          <c:marker>
            <c:symbol val="none"/>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'6 Agg Analysis'!$Q$26:$Q$38</c:f>
              <c:numCache>
                <c:formatCode>0</c:formatCode>
                <c:ptCount val="13"/>
                <c:pt idx="0">
                  <c:v>0</c:v>
                </c:pt>
                <c:pt idx="1">
                  <c:v>0</c:v>
                </c:pt>
                <c:pt idx="2">
                  <c:v>0</c:v>
                </c:pt>
                <c:pt idx="3">
                  <c:v>0</c:v>
                </c:pt>
                <c:pt idx="4">
                  <c:v>4</c:v>
                </c:pt>
                <c:pt idx="5">
                  <c:v>4</c:v>
                </c:pt>
                <c:pt idx="6">
                  <c:v>4</c:v>
                </c:pt>
                <c:pt idx="7">
                  <c:v>0</c:v>
                </c:pt>
                <c:pt idx="8">
                  <c:v>0</c:v>
                </c:pt>
                <c:pt idx="9">
                  <c:v>4</c:v>
                </c:pt>
                <c:pt idx="10">
                  <c:v>4</c:v>
                </c:pt>
                <c:pt idx="11">
                  <c:v>0</c:v>
                </c:pt>
                <c:pt idx="12">
                  <c:v>0</c:v>
                </c:pt>
              </c:numCache>
            </c:numRef>
          </c:val>
          <c:smooth val="0"/>
          <c:extLst>
            <c:ext xmlns:c16="http://schemas.microsoft.com/office/drawing/2014/chart" uri="{C3380CC4-5D6E-409C-BE32-E72D297353CC}">
              <c16:uniqueId val="{00000001-2C10-4691-809F-66D54F61AFE6}"/>
            </c:ext>
          </c:extLst>
        </c:ser>
        <c:ser>
          <c:idx val="2"/>
          <c:order val="2"/>
          <c:spPr>
            <a:ln w="38100" cmpd="sng">
              <a:solidFill>
                <a:srgbClr val="0000FF"/>
              </a:solidFill>
              <a:prstDash val="sysDash"/>
            </a:ln>
          </c:spPr>
          <c:marker>
            <c:symbol val="none"/>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'6 Agg Analysis'!$P$26:$P$38</c:f>
              <c:numCache>
                <c:formatCode>0</c:formatCode>
                <c:ptCount val="13"/>
                <c:pt idx="0">
                  <c:v>0</c:v>
                </c:pt>
                <c:pt idx="1">
                  <c:v>5</c:v>
                </c:pt>
                <c:pt idx="2">
                  <c:v>16</c:v>
                </c:pt>
                <c:pt idx="3">
                  <c:v>20</c:v>
                </c:pt>
                <c:pt idx="4">
                  <c:v>20</c:v>
                </c:pt>
                <c:pt idx="5">
                  <c:v>20</c:v>
                </c:pt>
                <c:pt idx="6">
                  <c:v>20</c:v>
                </c:pt>
                <c:pt idx="7">
                  <c:v>12</c:v>
                </c:pt>
                <c:pt idx="8">
                  <c:v>12</c:v>
                </c:pt>
                <c:pt idx="9">
                  <c:v>20</c:v>
                </c:pt>
                <c:pt idx="10">
                  <c:v>20</c:v>
                </c:pt>
                <c:pt idx="11">
                  <c:v>10</c:v>
                </c:pt>
                <c:pt idx="12">
                  <c:v>5</c:v>
                </c:pt>
              </c:numCache>
            </c:numRef>
          </c:val>
          <c:smooth val="0"/>
          <c:extLst>
            <c:ext xmlns:c16="http://schemas.microsoft.com/office/drawing/2014/chart" uri="{C3380CC4-5D6E-409C-BE32-E72D297353CC}">
              <c16:uniqueId val="{00000002-2C10-4691-809F-66D54F61AFE6}"/>
            </c:ext>
          </c:extLst>
        </c:ser>
        <c:dLbls>
          <c:showLegendKey val="0"/>
          <c:showVal val="0"/>
          <c:showCatName val="0"/>
          <c:showSerName val="0"/>
          <c:showPercent val="0"/>
          <c:showBubbleSize val="0"/>
        </c:dLbls>
        <c:marker val="1"/>
        <c:smooth val="0"/>
        <c:axId val="241588800"/>
        <c:axId val="241589192"/>
      </c:lineChart>
      <c:catAx>
        <c:axId val="241588800"/>
        <c:scaling>
          <c:orientation val="minMax"/>
        </c:scaling>
        <c:delete val="0"/>
        <c:axPos val="b"/>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Sieve</a:t>
                </a:r>
              </a:p>
            </c:rich>
          </c:tx>
          <c:layout>
            <c:manualLayout>
              <c:xMode val="edge"/>
              <c:yMode val="edge"/>
              <c:x val="0.50819772528433949"/>
              <c:y val="0.899132182945216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1" i="0" u="none" strike="noStrike" baseline="0">
                <a:solidFill>
                  <a:srgbClr val="000000"/>
                </a:solidFill>
                <a:latin typeface="+mn-lt"/>
                <a:ea typeface="Arial"/>
                <a:cs typeface="Arial"/>
              </a:defRPr>
            </a:pPr>
            <a:endParaRPr lang="en-US"/>
          </a:p>
        </c:txPr>
        <c:crossAx val="241589192"/>
        <c:crosses val="autoZero"/>
        <c:auto val="0"/>
        <c:lblAlgn val="ctr"/>
        <c:lblOffset val="100"/>
        <c:tickLblSkip val="1"/>
        <c:tickMarkSkip val="1"/>
        <c:noMultiLvlLbl val="0"/>
      </c:catAx>
      <c:valAx>
        <c:axId val="241589192"/>
        <c:scaling>
          <c:orientation val="minMax"/>
        </c:scaling>
        <c:delete val="0"/>
        <c:axPos val="l"/>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Percent Retained, % Vol</a:t>
                </a:r>
              </a:p>
            </c:rich>
          </c:tx>
          <c:layout>
            <c:manualLayout>
              <c:xMode val="edge"/>
              <c:yMode val="edge"/>
              <c:x val="3.5149141513560807E-2"/>
              <c:y val="0.26038805433008816"/>
            </c:manualLayout>
          </c:layout>
          <c:overlay val="0"/>
          <c:spPr>
            <a:noFill/>
            <a:ln w="25400">
              <a:noFill/>
            </a:ln>
          </c:spPr>
        </c:title>
        <c:numFmt formatCode="0;[Red]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en-US"/>
          </a:p>
        </c:txPr>
        <c:crossAx val="241588800"/>
        <c:crosses val="autoZero"/>
        <c:crossBetween val="midCat"/>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mn-lt"/>
              </a:rPr>
              <a:t>Shilstone Chart</a:t>
            </a:r>
          </a:p>
        </c:rich>
      </c:tx>
      <c:overlay val="1"/>
    </c:title>
    <c:autoTitleDeleted val="0"/>
    <c:plotArea>
      <c:layout>
        <c:manualLayout>
          <c:layoutTarget val="inner"/>
          <c:xMode val="edge"/>
          <c:yMode val="edge"/>
          <c:x val="0.13913342082239721"/>
          <c:y val="0.16388910761154857"/>
          <c:w val="0.80036773188482269"/>
          <c:h val="0.67816282261029159"/>
        </c:manualLayout>
      </c:layout>
      <c:scatterChart>
        <c:scatterStyle val="lineMarker"/>
        <c:varyColors val="0"/>
        <c:ser>
          <c:idx val="0"/>
          <c:order val="0"/>
          <c:spPr>
            <a:ln w="25400">
              <a:solidFill>
                <a:srgbClr val="000000"/>
              </a:solidFill>
              <a:prstDash val="solid"/>
            </a:ln>
          </c:spPr>
          <c:marker>
            <c:symbol val="none"/>
          </c:marker>
          <c:xVal>
            <c:numRef>
              <c:f>'6 Agg Analysis'!$C$46:$C$47</c:f>
              <c:numCache>
                <c:formatCode>General</c:formatCode>
                <c:ptCount val="2"/>
                <c:pt idx="0">
                  <c:v>100</c:v>
                </c:pt>
                <c:pt idx="1">
                  <c:v>35</c:v>
                </c:pt>
              </c:numCache>
            </c:numRef>
          </c:xVal>
          <c:yVal>
            <c:numRef>
              <c:f>'6 Agg Analysis'!$D$46:$D$47</c:f>
              <c:numCache>
                <c:formatCode>General</c:formatCode>
                <c:ptCount val="2"/>
                <c:pt idx="0">
                  <c:v>36</c:v>
                </c:pt>
                <c:pt idx="1">
                  <c:v>45</c:v>
                </c:pt>
              </c:numCache>
            </c:numRef>
          </c:yVal>
          <c:smooth val="0"/>
          <c:extLst>
            <c:ext xmlns:c16="http://schemas.microsoft.com/office/drawing/2014/chart" uri="{C3380CC4-5D6E-409C-BE32-E72D297353CC}">
              <c16:uniqueId val="{00000000-42C0-4B4A-98E4-663C49563FD8}"/>
            </c:ext>
          </c:extLst>
        </c:ser>
        <c:ser>
          <c:idx val="1"/>
          <c:order val="1"/>
          <c:spPr>
            <a:ln w="25400">
              <a:solidFill>
                <a:srgbClr val="000000"/>
              </a:solidFill>
              <a:prstDash val="solid"/>
            </a:ln>
          </c:spPr>
          <c:marker>
            <c:symbol val="none"/>
          </c:marker>
          <c:xVal>
            <c:numRef>
              <c:f>'6 Agg Analysis'!$C$48:$C$51</c:f>
              <c:numCache>
                <c:formatCode>General</c:formatCode>
                <c:ptCount val="4"/>
                <c:pt idx="0">
                  <c:v>100</c:v>
                </c:pt>
                <c:pt idx="1">
                  <c:v>85</c:v>
                </c:pt>
                <c:pt idx="2">
                  <c:v>15</c:v>
                </c:pt>
                <c:pt idx="3">
                  <c:v>0</c:v>
                </c:pt>
              </c:numCache>
            </c:numRef>
          </c:xVal>
          <c:yVal>
            <c:numRef>
              <c:f>'6 Agg Analysis'!$D$48:$D$51</c:f>
              <c:numCache>
                <c:formatCode>General</c:formatCode>
                <c:ptCount val="4"/>
                <c:pt idx="0">
                  <c:v>27</c:v>
                </c:pt>
                <c:pt idx="1">
                  <c:v>27</c:v>
                </c:pt>
                <c:pt idx="2">
                  <c:v>37</c:v>
                </c:pt>
                <c:pt idx="3">
                  <c:v>37</c:v>
                </c:pt>
              </c:numCache>
            </c:numRef>
          </c:yVal>
          <c:smooth val="0"/>
          <c:extLst>
            <c:ext xmlns:c16="http://schemas.microsoft.com/office/drawing/2014/chart" uri="{C3380CC4-5D6E-409C-BE32-E72D297353CC}">
              <c16:uniqueId val="{00000001-42C0-4B4A-98E4-663C49563FD8}"/>
            </c:ext>
          </c:extLst>
        </c:ser>
        <c:ser>
          <c:idx val="2"/>
          <c:order val="2"/>
          <c:spPr>
            <a:ln w="25400">
              <a:solidFill>
                <a:srgbClr val="000000"/>
              </a:solidFill>
              <a:prstDash val="solid"/>
            </a:ln>
          </c:spPr>
          <c:marker>
            <c:symbol val="none"/>
          </c:marker>
          <c:xVal>
            <c:numRef>
              <c:f>'6 Agg Analysis'!$C$52:$C$53</c:f>
              <c:numCache>
                <c:formatCode>General</c:formatCode>
                <c:ptCount val="2"/>
                <c:pt idx="0">
                  <c:v>75</c:v>
                </c:pt>
                <c:pt idx="1">
                  <c:v>75</c:v>
                </c:pt>
              </c:numCache>
            </c:numRef>
          </c:xVal>
          <c:yVal>
            <c:numRef>
              <c:f>'6 Agg Analysis'!$D$52:$D$53</c:f>
              <c:numCache>
                <c:formatCode>0.00</c:formatCode>
                <c:ptCount val="2"/>
                <c:pt idx="0">
                  <c:v>28.428571428571427</c:v>
                </c:pt>
                <c:pt idx="1">
                  <c:v>39.46153846153846</c:v>
                </c:pt>
              </c:numCache>
            </c:numRef>
          </c:yVal>
          <c:smooth val="0"/>
          <c:extLst>
            <c:ext xmlns:c16="http://schemas.microsoft.com/office/drawing/2014/chart" uri="{C3380CC4-5D6E-409C-BE32-E72D297353CC}">
              <c16:uniqueId val="{00000002-42C0-4B4A-98E4-663C49563FD8}"/>
            </c:ext>
          </c:extLst>
        </c:ser>
        <c:ser>
          <c:idx val="3"/>
          <c:order val="3"/>
          <c:spPr>
            <a:ln w="25400">
              <a:solidFill>
                <a:srgbClr val="000000"/>
              </a:solidFill>
              <a:prstDash val="solid"/>
            </a:ln>
          </c:spPr>
          <c:marker>
            <c:symbol val="none"/>
          </c:marker>
          <c:xVal>
            <c:numRef>
              <c:f>'6 Agg Analysis'!$C$54:$C$55</c:f>
              <c:numCache>
                <c:formatCode>General</c:formatCode>
                <c:ptCount val="2"/>
                <c:pt idx="0">
                  <c:v>45</c:v>
                </c:pt>
                <c:pt idx="1">
                  <c:v>45</c:v>
                </c:pt>
              </c:numCache>
            </c:numRef>
          </c:xVal>
          <c:yVal>
            <c:numRef>
              <c:f>'6 Agg Analysis'!$D$54:$D$55</c:f>
              <c:numCache>
                <c:formatCode>0.00</c:formatCode>
                <c:ptCount val="2"/>
                <c:pt idx="0">
                  <c:v>32.714285714285715</c:v>
                </c:pt>
                <c:pt idx="1">
                  <c:v>43.615384615384613</c:v>
                </c:pt>
              </c:numCache>
            </c:numRef>
          </c:yVal>
          <c:smooth val="0"/>
          <c:extLst>
            <c:ext xmlns:c16="http://schemas.microsoft.com/office/drawing/2014/chart" uri="{C3380CC4-5D6E-409C-BE32-E72D297353CC}">
              <c16:uniqueId val="{00000003-42C0-4B4A-98E4-663C49563FD8}"/>
            </c:ext>
          </c:extLst>
        </c:ser>
        <c:ser>
          <c:idx val="4"/>
          <c:order val="4"/>
          <c:spPr>
            <a:ln w="12700">
              <a:solidFill>
                <a:srgbClr val="800080"/>
              </a:solidFill>
              <a:prstDash val="solid"/>
            </a:ln>
          </c:spPr>
          <c:marker>
            <c:symbol val="circle"/>
            <c:size val="10"/>
            <c:spPr>
              <a:solidFill>
                <a:srgbClr val="FF0000"/>
              </a:solidFill>
              <a:ln>
                <a:solidFill>
                  <a:srgbClr val="000000"/>
                </a:solidFill>
                <a:prstDash val="solid"/>
              </a:ln>
            </c:spPr>
          </c:marker>
          <c:xVal>
            <c:numRef>
              <c:f>Data_Charts!$J$4</c:f>
              <c:numCache>
                <c:formatCode>0.00;[Red]0.00</c:formatCode>
                <c:ptCount val="1"/>
                <c:pt idx="0">
                  <c:v>0</c:v>
                </c:pt>
              </c:numCache>
            </c:numRef>
          </c:xVal>
          <c:yVal>
            <c:numRef>
              <c:f>Data_Charts!$J$5</c:f>
              <c:numCache>
                <c:formatCode>0.00;[Red]0.00</c:formatCode>
                <c:ptCount val="1"/>
                <c:pt idx="0">
                  <c:v>0</c:v>
                </c:pt>
              </c:numCache>
            </c:numRef>
          </c:yVal>
          <c:smooth val="0"/>
          <c:extLst>
            <c:ext xmlns:c16="http://schemas.microsoft.com/office/drawing/2014/chart" uri="{C3380CC4-5D6E-409C-BE32-E72D297353CC}">
              <c16:uniqueId val="{00000004-42C0-4B4A-98E4-663C49563FD8}"/>
            </c:ext>
          </c:extLst>
        </c:ser>
        <c:dLbls>
          <c:showLegendKey val="0"/>
          <c:showVal val="0"/>
          <c:showCatName val="0"/>
          <c:showSerName val="0"/>
          <c:showPercent val="0"/>
          <c:showBubbleSize val="0"/>
        </c:dLbls>
        <c:axId val="242648352"/>
        <c:axId val="242648744"/>
      </c:scatterChart>
      <c:valAx>
        <c:axId val="242648352"/>
        <c:scaling>
          <c:orientation val="maxMin"/>
          <c:max val="100"/>
          <c:min val="0"/>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Coarseness Factor </a:t>
                </a:r>
              </a:p>
            </c:rich>
          </c:tx>
          <c:layout>
            <c:manualLayout>
              <c:xMode val="edge"/>
              <c:yMode val="edge"/>
              <c:x val="0.4084460333823175"/>
              <c:y val="0.93745445667071747"/>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242648744"/>
        <c:crosses val="autoZero"/>
        <c:crossBetween val="midCat"/>
        <c:minorUnit val="10"/>
      </c:valAx>
      <c:valAx>
        <c:axId val="242648744"/>
        <c:scaling>
          <c:orientation val="minMax"/>
          <c:max val="45"/>
          <c:min val="20"/>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Workability Factor</a:t>
                </a:r>
              </a:p>
            </c:rich>
          </c:tx>
          <c:layout>
            <c:manualLayout>
              <c:xMode val="edge"/>
              <c:yMode val="edge"/>
              <c:x val="3.856322973555882E-2"/>
              <c:y val="0.332184692558250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242648352"/>
        <c:crosses val="max"/>
        <c:crossBetween val="midCat"/>
      </c:valAx>
      <c:spPr>
        <a:noFill/>
        <a:ln w="254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mn-lt"/>
              </a:rPr>
              <a:t>Tarantula</a:t>
            </a:r>
          </a:p>
        </c:rich>
      </c:tx>
      <c:overlay val="1"/>
    </c:title>
    <c:autoTitleDeleted val="0"/>
    <c:plotArea>
      <c:layout>
        <c:manualLayout>
          <c:layoutTarget val="inner"/>
          <c:xMode val="edge"/>
          <c:yMode val="edge"/>
          <c:x val="0.15482723351269623"/>
          <c:y val="0.12683727034120734"/>
          <c:w val="0.7941726330768889"/>
          <c:h val="0.68202810586176732"/>
        </c:manualLayout>
      </c:layout>
      <c:lineChart>
        <c:grouping val="standard"/>
        <c:varyColors val="0"/>
        <c:ser>
          <c:idx val="0"/>
          <c:order val="0"/>
          <c:tx>
            <c:v>Indv. % Ret.</c:v>
          </c:tx>
          <c:spPr>
            <a:ln>
              <a:solidFill>
                <a:srgbClr val="FF0000"/>
              </a:solidFill>
            </a:ln>
          </c:spPr>
          <c:marker>
            <c:symbol val="diamond"/>
            <c:size val="9"/>
            <c:spPr>
              <a:solidFill>
                <a:srgbClr val="FF0000"/>
              </a:solidFill>
              <a:ln w="9525">
                <a:solidFill>
                  <a:srgbClr val="FF0000"/>
                </a:solidFill>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Design'!$C$44:$C$56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0A9E-4504-BFD9-1AE44862C4DE}"/>
            </c:ext>
          </c:extLst>
        </c:ser>
        <c:ser>
          <c:idx val="1"/>
          <c:order val="1"/>
          <c:tx>
            <c:v>Lower Tarant. Bound</c:v>
          </c:tx>
          <c:spPr>
            <a:ln w="28575">
              <a:solidFill>
                <a:srgbClr val="0000FF"/>
              </a:solidFill>
              <a:prstDash val="sysDash"/>
            </a:ln>
          </c:spPr>
          <c:marker>
            <c:symbol val="none"/>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'6 Agg Analysis'!$Q$26:$Q$38</c:f>
              <c:numCache>
                <c:formatCode>0</c:formatCode>
                <c:ptCount val="13"/>
                <c:pt idx="0">
                  <c:v>0</c:v>
                </c:pt>
                <c:pt idx="1">
                  <c:v>0</c:v>
                </c:pt>
                <c:pt idx="2">
                  <c:v>0</c:v>
                </c:pt>
                <c:pt idx="3">
                  <c:v>0</c:v>
                </c:pt>
                <c:pt idx="4">
                  <c:v>4</c:v>
                </c:pt>
                <c:pt idx="5">
                  <c:v>4</c:v>
                </c:pt>
                <c:pt idx="6">
                  <c:v>4</c:v>
                </c:pt>
                <c:pt idx="7">
                  <c:v>0</c:v>
                </c:pt>
                <c:pt idx="8">
                  <c:v>0</c:v>
                </c:pt>
                <c:pt idx="9">
                  <c:v>4</c:v>
                </c:pt>
                <c:pt idx="10">
                  <c:v>4</c:v>
                </c:pt>
                <c:pt idx="11">
                  <c:v>0</c:v>
                </c:pt>
                <c:pt idx="12">
                  <c:v>0</c:v>
                </c:pt>
              </c:numCache>
            </c:numRef>
          </c:val>
          <c:smooth val="0"/>
          <c:extLst>
            <c:ext xmlns:c16="http://schemas.microsoft.com/office/drawing/2014/chart" uri="{C3380CC4-5D6E-409C-BE32-E72D297353CC}">
              <c16:uniqueId val="{00000001-0A9E-4504-BFD9-1AE44862C4DE}"/>
            </c:ext>
          </c:extLst>
        </c:ser>
        <c:ser>
          <c:idx val="2"/>
          <c:order val="2"/>
          <c:tx>
            <c:v>Upper Tarant Bound</c:v>
          </c:tx>
          <c:spPr>
            <a:ln w="28575">
              <a:solidFill>
                <a:srgbClr val="0000FF"/>
              </a:solidFill>
              <a:prstDash val="sysDash"/>
            </a:ln>
          </c:spPr>
          <c:marker>
            <c:symbol val="none"/>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'6 Agg Analysis'!$P$26:$P$38</c:f>
              <c:numCache>
                <c:formatCode>0</c:formatCode>
                <c:ptCount val="13"/>
                <c:pt idx="0">
                  <c:v>0</c:v>
                </c:pt>
                <c:pt idx="1">
                  <c:v>5</c:v>
                </c:pt>
                <c:pt idx="2">
                  <c:v>16</c:v>
                </c:pt>
                <c:pt idx="3">
                  <c:v>20</c:v>
                </c:pt>
                <c:pt idx="4">
                  <c:v>20</c:v>
                </c:pt>
                <c:pt idx="5">
                  <c:v>20</c:v>
                </c:pt>
                <c:pt idx="6">
                  <c:v>20</c:v>
                </c:pt>
                <c:pt idx="7">
                  <c:v>12</c:v>
                </c:pt>
                <c:pt idx="8">
                  <c:v>12</c:v>
                </c:pt>
                <c:pt idx="9">
                  <c:v>20</c:v>
                </c:pt>
                <c:pt idx="10">
                  <c:v>20</c:v>
                </c:pt>
                <c:pt idx="11">
                  <c:v>10</c:v>
                </c:pt>
                <c:pt idx="12">
                  <c:v>5</c:v>
                </c:pt>
              </c:numCache>
            </c:numRef>
          </c:val>
          <c:smooth val="0"/>
          <c:extLst>
            <c:ext xmlns:c16="http://schemas.microsoft.com/office/drawing/2014/chart" uri="{C3380CC4-5D6E-409C-BE32-E72D297353CC}">
              <c16:uniqueId val="{00000002-0A9E-4504-BFD9-1AE44862C4DE}"/>
            </c:ext>
          </c:extLst>
        </c:ser>
        <c:dLbls>
          <c:showLegendKey val="0"/>
          <c:showVal val="0"/>
          <c:showCatName val="0"/>
          <c:showSerName val="0"/>
          <c:showPercent val="0"/>
          <c:showBubbleSize val="0"/>
        </c:dLbls>
        <c:marker val="1"/>
        <c:smooth val="0"/>
        <c:axId val="241588800"/>
        <c:axId val="241589192"/>
      </c:lineChart>
      <c:catAx>
        <c:axId val="241588800"/>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Sieve</a:t>
                </a:r>
              </a:p>
            </c:rich>
          </c:tx>
          <c:layout>
            <c:manualLayout>
              <c:xMode val="edge"/>
              <c:yMode val="edge"/>
              <c:x val="0.50819770104914164"/>
              <c:y val="0.908588392624283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975" b="1" i="0" u="none" strike="noStrike" baseline="0">
                <a:solidFill>
                  <a:srgbClr val="000000"/>
                </a:solidFill>
                <a:latin typeface="Arial"/>
                <a:ea typeface="Arial"/>
                <a:cs typeface="Arial"/>
              </a:defRPr>
            </a:pPr>
            <a:endParaRPr lang="en-US"/>
          </a:p>
        </c:txPr>
        <c:crossAx val="241589192"/>
        <c:crosses val="autoZero"/>
        <c:auto val="0"/>
        <c:lblAlgn val="ctr"/>
        <c:lblOffset val="100"/>
        <c:tickLblSkip val="1"/>
        <c:tickMarkSkip val="1"/>
        <c:noMultiLvlLbl val="0"/>
      </c:catAx>
      <c:valAx>
        <c:axId val="24158919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Retained, % Vol</a:t>
                </a:r>
              </a:p>
            </c:rich>
          </c:tx>
          <c:layout>
            <c:manualLayout>
              <c:xMode val="edge"/>
              <c:yMode val="edge"/>
              <c:x val="9.1075388429631889E-3"/>
              <c:y val="0.26038809630825743"/>
            </c:manualLayout>
          </c:layout>
          <c:overlay val="0"/>
          <c:spPr>
            <a:noFill/>
            <a:ln w="25400">
              <a:noFill/>
            </a:ln>
          </c:spPr>
        </c:title>
        <c:numFmt formatCode="0;[Red]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en-US"/>
          </a:p>
        </c:txPr>
        <c:crossAx val="241588800"/>
        <c:crosses val="autoZero"/>
        <c:crossBetween val="midCat"/>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mn-lt"/>
              </a:rPr>
              <a:t>Indv. Percent</a:t>
            </a:r>
            <a:r>
              <a:rPr lang="en-US" sz="1600" baseline="0">
                <a:latin typeface="+mn-lt"/>
              </a:rPr>
              <a:t> Passing</a:t>
            </a:r>
            <a:endParaRPr lang="en-US" sz="1600">
              <a:latin typeface="+mn-lt"/>
            </a:endParaRP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3"/>
          <c:order val="0"/>
          <c:tx>
            <c:strRef>
              <c:f>'2 Aggregate System'!$A$13</c:f>
              <c:strCache>
                <c:ptCount val="1"/>
                <c:pt idx="0">
                  <c:v>Coarse A</c:v>
                </c:pt>
              </c:strCache>
            </c:strRef>
          </c:tx>
          <c:marker>
            <c:symbol val="circle"/>
            <c:size val="6"/>
            <c:spPr>
              <a:no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System'!$B$26:$B$38</c:f>
              <c:numCache>
                <c:formatCode>0.0</c:formatCode>
                <c:ptCount val="13"/>
              </c:numCache>
            </c:numRef>
          </c:val>
          <c:smooth val="0"/>
          <c:extLst>
            <c:ext xmlns:c16="http://schemas.microsoft.com/office/drawing/2014/chart" uri="{C3380CC4-5D6E-409C-BE32-E72D297353CC}">
              <c16:uniqueId val="{00000000-D555-4363-B9DB-CAA7DF9FD43D}"/>
            </c:ext>
          </c:extLst>
        </c:ser>
        <c:ser>
          <c:idx val="4"/>
          <c:order val="1"/>
          <c:tx>
            <c:strRef>
              <c:f>'2 Aggregate System'!$A$14</c:f>
              <c:strCache>
                <c:ptCount val="1"/>
                <c:pt idx="0">
                  <c:v>Coarse B</c:v>
                </c:pt>
              </c:strCache>
            </c:strRef>
          </c:tx>
          <c:marker>
            <c:symbol val="square"/>
            <c:size val="5"/>
            <c:spPr>
              <a:noFill/>
              <a:ln>
                <a:solidFill>
                  <a:srgbClr val="800080"/>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System'!$C$26:$C$38</c:f>
              <c:numCache>
                <c:formatCode>0.0</c:formatCode>
                <c:ptCount val="13"/>
              </c:numCache>
            </c:numRef>
          </c:val>
          <c:smooth val="0"/>
          <c:extLst>
            <c:ext xmlns:c16="http://schemas.microsoft.com/office/drawing/2014/chart" uri="{C3380CC4-5D6E-409C-BE32-E72D297353CC}">
              <c16:uniqueId val="{00000001-D555-4363-B9DB-CAA7DF9FD43D}"/>
            </c:ext>
          </c:extLst>
        </c:ser>
        <c:ser>
          <c:idx val="0"/>
          <c:order val="2"/>
          <c:tx>
            <c:strRef>
              <c:f>'2 Aggregate System'!$A$15</c:f>
              <c:strCache>
                <c:ptCount val="1"/>
                <c:pt idx="0">
                  <c:v>Coarse C</c:v>
                </c:pt>
              </c:strCache>
            </c:strRef>
          </c:tx>
          <c:marker>
            <c:symbol val="triangle"/>
            <c:size val="5"/>
            <c:spPr>
              <a:solidFill>
                <a:srgbClr val="FFFFFF"/>
              </a:solidFill>
              <a:ln>
                <a:solidFill>
                  <a:srgbClr val="000000"/>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System'!$D$26:$D$38</c:f>
              <c:numCache>
                <c:formatCode>0.0</c:formatCode>
                <c:ptCount val="13"/>
              </c:numCache>
            </c:numRef>
          </c:val>
          <c:smooth val="0"/>
          <c:extLst>
            <c:ext xmlns:c16="http://schemas.microsoft.com/office/drawing/2014/chart" uri="{C3380CC4-5D6E-409C-BE32-E72D297353CC}">
              <c16:uniqueId val="{00000002-D555-4363-B9DB-CAA7DF9FD43D}"/>
            </c:ext>
          </c:extLst>
        </c:ser>
        <c:ser>
          <c:idx val="1"/>
          <c:order val="3"/>
          <c:tx>
            <c:strRef>
              <c:f>'2 Aggregate System'!$A$16</c:f>
              <c:strCache>
                <c:ptCount val="1"/>
                <c:pt idx="0">
                  <c:v>Fine A</c:v>
                </c:pt>
              </c:strCache>
            </c:strRef>
          </c:tx>
          <c:val>
            <c:numRef>
              <c:f>'2 Aggregate System'!$E$26:$E$38</c:f>
              <c:numCache>
                <c:formatCode>0.0</c:formatCode>
                <c:ptCount val="13"/>
              </c:numCache>
            </c:numRef>
          </c:val>
          <c:smooth val="0"/>
          <c:extLst>
            <c:ext xmlns:c16="http://schemas.microsoft.com/office/drawing/2014/chart" uri="{C3380CC4-5D6E-409C-BE32-E72D297353CC}">
              <c16:uniqueId val="{00000003-D555-4363-B9DB-CAA7DF9FD43D}"/>
            </c:ext>
          </c:extLst>
        </c:ser>
        <c:ser>
          <c:idx val="2"/>
          <c:order val="4"/>
          <c:tx>
            <c:strRef>
              <c:f>'2 Aggregate System'!$A$17</c:f>
              <c:strCache>
                <c:ptCount val="1"/>
                <c:pt idx="0">
                  <c:v>Fine B</c:v>
                </c:pt>
              </c:strCache>
            </c:strRef>
          </c:tx>
          <c:val>
            <c:numRef>
              <c:f>'2 Aggregate System'!$F$26:$F$38</c:f>
              <c:numCache>
                <c:formatCode>0.0</c:formatCode>
                <c:ptCount val="13"/>
              </c:numCache>
            </c:numRef>
          </c:val>
          <c:smooth val="0"/>
          <c:extLst>
            <c:ext xmlns:c16="http://schemas.microsoft.com/office/drawing/2014/chart" uri="{C3380CC4-5D6E-409C-BE32-E72D297353CC}">
              <c16:uniqueId val="{00000004-D555-4363-B9DB-CAA7DF9FD43D}"/>
            </c:ext>
          </c:extLst>
        </c:ser>
        <c:dLbls>
          <c:showLegendKey val="0"/>
          <c:showVal val="0"/>
          <c:showCatName val="0"/>
          <c:showSerName val="0"/>
          <c:showPercent val="0"/>
          <c:showBubbleSize val="0"/>
        </c:dLbls>
        <c:marker val="1"/>
        <c:smooth val="0"/>
        <c:axId val="241589976"/>
        <c:axId val="242646392"/>
      </c:lineChart>
      <c:catAx>
        <c:axId val="241589976"/>
        <c:scaling>
          <c:orientation val="minMax"/>
        </c:scaling>
        <c:delete val="0"/>
        <c:axPos val="b"/>
        <c:majorGridlines/>
        <c:title>
          <c:tx>
            <c:rich>
              <a:bodyPr/>
              <a:lstStyle/>
              <a:p>
                <a:pPr>
                  <a:defRPr sz="1200" b="1" i="0" u="none" strike="noStrike" baseline="0">
                    <a:solidFill>
                      <a:srgbClr val="000000"/>
                    </a:solidFill>
                    <a:latin typeface="Arial"/>
                    <a:ea typeface="Arial"/>
                    <a:cs typeface="Arial"/>
                  </a:defRPr>
                </a:pPr>
                <a:r>
                  <a:rPr lang="en-US"/>
                  <a:t>Sieve</a:t>
                </a:r>
              </a:p>
            </c:rich>
          </c:tx>
          <c:layout>
            <c:manualLayout>
              <c:xMode val="edge"/>
              <c:yMode val="edge"/>
              <c:x val="0.43772972707235747"/>
              <c:y val="0.87021181062415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0" u="none" strike="noStrike" baseline="0">
                <a:solidFill>
                  <a:srgbClr val="000000"/>
                </a:solidFill>
                <a:latin typeface="Arial"/>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min val="0"/>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Passing, % Weight</a:t>
                </a:r>
              </a:p>
            </c:rich>
          </c:tx>
          <c:layout>
            <c:manualLayout>
              <c:xMode val="edge"/>
              <c:yMode val="edge"/>
              <c:x val="2.8451048478952527E-2"/>
              <c:y val="0.1770953085122375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legend>
      <c:legendPos val="b"/>
      <c:layout>
        <c:manualLayout>
          <c:xMode val="edge"/>
          <c:yMode val="edge"/>
          <c:x val="6.4852247267218555E-2"/>
          <c:y val="0.92078312784638139"/>
          <c:w val="0.82404720221626826"/>
          <c:h val="5.1445519555114103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Optimize Tool'!Q11" lockText="1" noThreeD="1"/>
</file>

<file path=xl/ctrlProps/ctrlProp8.xml><?xml version="1.0" encoding="utf-8"?>
<formControlPr xmlns="http://schemas.microsoft.com/office/spreadsheetml/2009/9/main" objectType="CheckBox" fmlaLink="'Optimize Tool'!R1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12</xdr:col>
      <xdr:colOff>530764</xdr:colOff>
      <xdr:row>0</xdr:row>
      <xdr:rowOff>55901</xdr:rowOff>
    </xdr:from>
    <xdr:to>
      <xdr:col>15</xdr:col>
      <xdr:colOff>97290</xdr:colOff>
      <xdr:row>6</xdr:row>
      <xdr:rowOff>97984</xdr:rowOff>
    </xdr:to>
    <xdr:pic>
      <xdr:nvPicPr>
        <xdr:cNvPr id="7" name="Picture 6" descr="C:\Documents and Settings\DOTWXC.AD\My Documents\My Pictures\New Picture.bmp">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7726469" y="55901"/>
          <a:ext cx="1384935" cy="1363980"/>
        </a:xfrm>
        <a:prstGeom prst="ellipse">
          <a:avLst/>
        </a:prstGeom>
        <a:ln>
          <a:noFill/>
        </a:ln>
        <a:effectLst/>
      </xdr:spPr>
    </xdr:pic>
    <xdr:clientData/>
  </xdr:twoCellAnchor>
  <xdr:oneCellAnchor>
    <xdr:from>
      <xdr:col>9</xdr:col>
      <xdr:colOff>0</xdr:colOff>
      <xdr:row>126</xdr:row>
      <xdr:rowOff>50394</xdr:rowOff>
    </xdr:from>
    <xdr:ext cx="3295650" cy="2642584"/>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091545" y="23144189"/>
          <a:ext cx="3295650" cy="264258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l"/>
          <a:r>
            <a:rPr lang="en-US" sz="1100" b="1">
              <a:solidFill>
                <a:srgbClr val="FF0000"/>
              </a:solidFill>
              <a:effectLst/>
              <a:latin typeface="+mn-lt"/>
              <a:ea typeface="+mn-ea"/>
              <a:cs typeface="+mn-cs"/>
            </a:rPr>
            <a:t>This publication is intended solely for use by professional personnel who are competent to evaluate the significance and limitations of the information provided herein and who will accept total responsibility for the application of this information. Any opinions, findings, and conclusions or recommendations expressed in this material do not necessarily reflect the views of the Wisconsin Department of Transportation.</a:t>
          </a:r>
        </a:p>
        <a:p>
          <a:pPr lvl="0" algn="l"/>
          <a:endParaRPr lang="en-US" sz="1100" b="1">
            <a:solidFill>
              <a:srgbClr val="FF0000"/>
            </a:solidFill>
            <a:effectLst/>
            <a:latin typeface="+mn-lt"/>
            <a:ea typeface="+mn-ea"/>
            <a:cs typeface="+mn-cs"/>
          </a:endParaRPr>
        </a:p>
        <a:p>
          <a:pPr lvl="0" algn="l"/>
          <a:r>
            <a:rPr lang="en-US" sz="1100" b="1">
              <a:solidFill>
                <a:srgbClr val="FF0000"/>
              </a:solidFill>
              <a:effectLst/>
              <a:latin typeface="+mn-lt"/>
              <a:ea typeface="+mn-ea"/>
              <a:cs typeface="+mn-cs"/>
            </a:rPr>
            <a:t>The Wisconsin</a:t>
          </a:r>
          <a:r>
            <a:rPr lang="en-US" sz="1100" b="1" baseline="0">
              <a:solidFill>
                <a:srgbClr val="FF0000"/>
              </a:solidFill>
              <a:effectLst/>
              <a:latin typeface="+mn-lt"/>
              <a:ea typeface="+mn-ea"/>
              <a:cs typeface="+mn-cs"/>
            </a:rPr>
            <a:t> Department of Transportation</a:t>
          </a:r>
          <a:r>
            <a:rPr lang="en-US" sz="1100" b="1">
              <a:solidFill>
                <a:srgbClr val="FF0000"/>
              </a:solidFill>
              <a:effectLst/>
              <a:latin typeface="+mn-lt"/>
              <a:ea typeface="+mn-ea"/>
              <a:cs typeface="+mn-cs"/>
            </a:rPr>
            <a:t> and the authors make no representations or warranties, expressed or implied, as to the accuracy of any information or computations herein and disclaim liability for any inaccuracies.</a:t>
          </a:r>
        </a:p>
        <a:p>
          <a:endParaRPr lang="en-US" sz="1100"/>
        </a:p>
      </xdr:txBody>
    </xdr:sp>
    <xdr:clientData/>
  </xdr:oneCellAnchor>
  <xdr:oneCellAnchor>
    <xdr:from>
      <xdr:col>3</xdr:col>
      <xdr:colOff>9525</xdr:colOff>
      <xdr:row>126</xdr:row>
      <xdr:rowOff>41562</xdr:rowOff>
    </xdr:from>
    <xdr:ext cx="3295650" cy="806163"/>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466850" y="23339712"/>
          <a:ext cx="3295650" cy="80616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l"/>
          <a:r>
            <a:rPr lang="en-US" sz="1100" b="1">
              <a:solidFill>
                <a:srgbClr val="FF0000"/>
              </a:solidFill>
              <a:effectLst/>
              <a:latin typeface="+mn-lt"/>
              <a:ea typeface="+mn-ea"/>
              <a:cs typeface="+mn-cs"/>
            </a:rPr>
            <a:t>This is the Official version to be used on Wisconsin DOT projects when seeking approval for optimized gradation and optimized mixtures. </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533939</xdr:colOff>
      <xdr:row>0</xdr:row>
      <xdr:rowOff>48586</xdr:rowOff>
    </xdr:from>
    <xdr:to>
      <xdr:col>15</xdr:col>
      <xdr:colOff>92845</xdr:colOff>
      <xdr:row>7</xdr:row>
      <xdr:rowOff>113529</xdr:rowOff>
    </xdr:to>
    <xdr:pic>
      <xdr:nvPicPr>
        <xdr:cNvPr id="2" name="Picture 1" descr="C:\Documents and Settings\DOTWXC.AD\My Documents\My Pictures\New Picture.bmp">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7729644" y="48586"/>
          <a:ext cx="1377315" cy="1381125"/>
        </a:xfrm>
        <a:prstGeom prst="ellipse">
          <a:avLst/>
        </a:prstGeom>
        <a:ln>
          <a:noFill/>
        </a:ln>
        <a:effec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123</xdr:row>
          <xdr:rowOff>152400</xdr:rowOff>
        </xdr:from>
        <xdr:to>
          <xdr:col>2</xdr:col>
          <xdr:colOff>666750</xdr:colOff>
          <xdr:row>125</xdr:row>
          <xdr:rowOff>28575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Met Combined Sieves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152400</xdr:rowOff>
        </xdr:from>
        <xdr:to>
          <xdr:col>3</xdr:col>
          <xdr:colOff>628650</xdr:colOff>
          <xdr:row>91</xdr:row>
          <xdr:rowOff>28575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Met Optimized Gradation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12931</xdr:colOff>
          <xdr:row>118</xdr:row>
          <xdr:rowOff>182881</xdr:rowOff>
        </xdr:from>
        <xdr:to>
          <xdr:col>10</xdr:col>
          <xdr:colOff>129943</xdr:colOff>
          <xdr:row>121</xdr:row>
          <xdr:rowOff>185929</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9118831" y="22652356"/>
              <a:ext cx="1869612" cy="603123"/>
              <a:chOff x="9103143" y="21931369"/>
              <a:chExt cx="1685842" cy="567865"/>
            </a:xfrm>
          </xdr:grpSpPr>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9103143" y="21931369"/>
                <a:ext cx="1445163" cy="193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Voids &gt;= 1.25</a:t>
                </a:r>
              </a:p>
            </xdr:txBody>
          </xdr:sp>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200-00001C180000}"/>
                  </a:ext>
                </a:extLst>
              </xdr:cNvPr>
              <xdr:cNvSpPr/>
            </xdr:nvSpPr>
            <xdr:spPr bwMode="auto">
              <a:xfrm>
                <a:off x="9103150" y="22147806"/>
                <a:ext cx="1685835" cy="162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Box Test &lt;=2</a:t>
                </a:r>
              </a:p>
            </xdr:txBody>
          </xdr:sp>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200-00001D180000}"/>
                  </a:ext>
                </a:extLst>
              </xdr:cNvPr>
              <xdr:cNvSpPr/>
            </xdr:nvSpPr>
            <xdr:spPr bwMode="auto">
              <a:xfrm>
                <a:off x="9103143" y="22333445"/>
                <a:ext cx="1673494" cy="1657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SAM Number</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161925</xdr:rowOff>
        </xdr:from>
        <xdr:to>
          <xdr:col>3</xdr:col>
          <xdr:colOff>857250</xdr:colOff>
          <xdr:row>132</xdr:row>
          <xdr:rowOff>47625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2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Mix Designer's Request for SCM exemption (501.3.2.2.2)</a:t>
              </a:r>
            </a:p>
          </xdr:txBody>
        </xdr:sp>
        <xdr:clientData/>
      </xdr:twoCellAnchor>
    </mc:Choice>
    <mc:Fallback/>
  </mc:AlternateContent>
  <xdr:twoCellAnchor>
    <xdr:from>
      <xdr:col>1</xdr:col>
      <xdr:colOff>38100</xdr:colOff>
      <xdr:row>91</xdr:row>
      <xdr:rowOff>0</xdr:rowOff>
    </xdr:from>
    <xdr:to>
      <xdr:col>4</xdr:col>
      <xdr:colOff>1283970</xdr:colOff>
      <xdr:row>106</xdr:row>
      <xdr:rowOff>7620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19050</xdr:colOff>
          <xdr:row>38</xdr:row>
          <xdr:rowOff>0</xdr:rowOff>
        </xdr:from>
        <xdr:to>
          <xdr:col>4</xdr:col>
          <xdr:colOff>990600</xdr:colOff>
          <xdr:row>38</xdr:row>
          <xdr:rowOff>190500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2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Type III 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38</xdr:row>
          <xdr:rowOff>19050</xdr:rowOff>
        </xdr:from>
        <xdr:to>
          <xdr:col>5</xdr:col>
          <xdr:colOff>866775</xdr:colOff>
          <xdr:row>38</xdr:row>
          <xdr:rowOff>180975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2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Additional Cement</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9</xdr:col>
      <xdr:colOff>184148</xdr:colOff>
      <xdr:row>0</xdr:row>
      <xdr:rowOff>171450</xdr:rowOff>
    </xdr:from>
    <xdr:to>
      <xdr:col>10</xdr:col>
      <xdr:colOff>740408</xdr:colOff>
      <xdr:row>8</xdr:row>
      <xdr:rowOff>57150</xdr:rowOff>
    </xdr:to>
    <xdr:pic>
      <xdr:nvPicPr>
        <xdr:cNvPr id="4" name="Picture 3" descr="C:\Documents and Settings\DOTWXC.AD\My Documents\My Pictures\New Picture.bmp">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srcRect/>
        <a:stretch>
          <a:fillRect/>
        </a:stretch>
      </xdr:blipFill>
      <xdr:spPr bwMode="auto">
        <a:xfrm>
          <a:off x="9966323" y="171450"/>
          <a:ext cx="1463040" cy="1463040"/>
        </a:xfrm>
        <a:prstGeom prst="ellipse">
          <a:avLst/>
        </a:prstGeom>
        <a:ln>
          <a:noFill/>
        </a:ln>
        <a:effectLst/>
      </xdr:spPr>
    </xdr:pic>
    <xdr:clientData/>
  </xdr:twoCellAnchor>
  <xdr:twoCellAnchor>
    <xdr:from>
      <xdr:col>6</xdr:col>
      <xdr:colOff>0</xdr:colOff>
      <xdr:row>20</xdr:row>
      <xdr:rowOff>0</xdr:rowOff>
    </xdr:from>
    <xdr:to>
      <xdr:col>11</xdr:col>
      <xdr:colOff>773430</xdr:colOff>
      <xdr:row>38</xdr:row>
      <xdr:rowOff>250031</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10870</xdr:colOff>
      <xdr:row>9</xdr:row>
      <xdr:rowOff>170974</xdr:rowOff>
    </xdr:from>
    <xdr:to>
      <xdr:col>8</xdr:col>
      <xdr:colOff>2298</xdr:colOff>
      <xdr:row>15</xdr:row>
      <xdr:rowOff>92869</xdr:rowOff>
    </xdr:to>
    <xdr:pic>
      <xdr:nvPicPr>
        <xdr:cNvPr id="3" name="Picture 2" descr="C:\Documents and Settings\DOTWXC.AD\My Documents\My Pictures\New Picture.bmp">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srcRect/>
        <a:stretch>
          <a:fillRect/>
        </a:stretch>
      </xdr:blipFill>
      <xdr:spPr bwMode="auto">
        <a:xfrm>
          <a:off x="9402520" y="1980724"/>
          <a:ext cx="1463040" cy="1463040"/>
        </a:xfrm>
        <a:prstGeom prst="ellipse">
          <a:avLst/>
        </a:prstGeom>
        <a:ln>
          <a:noFill/>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761243</xdr:colOff>
      <xdr:row>0</xdr:row>
      <xdr:rowOff>104775</xdr:rowOff>
    </xdr:from>
    <xdr:to>
      <xdr:col>10</xdr:col>
      <xdr:colOff>746003</xdr:colOff>
      <xdr:row>7</xdr:row>
      <xdr:rowOff>167640</xdr:rowOff>
    </xdr:to>
    <xdr:pic>
      <xdr:nvPicPr>
        <xdr:cNvPr id="7" name="Picture 6" descr="C:\Documents and Settings\DOTWXC.AD\My Documents\My Pictures\New Picture.bmp">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srcRect/>
        <a:stretch>
          <a:fillRect/>
        </a:stretch>
      </xdr:blipFill>
      <xdr:spPr bwMode="auto">
        <a:xfrm>
          <a:off x="10467218" y="104775"/>
          <a:ext cx="1463040" cy="1463040"/>
        </a:xfrm>
        <a:prstGeom prst="ellipse">
          <a:avLst/>
        </a:prstGeom>
        <a:ln>
          <a:noFill/>
        </a:ln>
        <a:effectLst/>
      </xdr:spPr>
    </xdr:pic>
    <xdr:clientData/>
  </xdr:twoCellAnchor>
  <xdr:twoCellAnchor>
    <xdr:from>
      <xdr:col>9</xdr:col>
      <xdr:colOff>0</xdr:colOff>
      <xdr:row>10</xdr:row>
      <xdr:rowOff>0</xdr:rowOff>
    </xdr:from>
    <xdr:to>
      <xdr:col>16</xdr:col>
      <xdr:colOff>149774</xdr:colOff>
      <xdr:row>25</xdr:row>
      <xdr:rowOff>123825</xdr:rowOff>
    </xdr:to>
    <xdr:graphicFrame macro="">
      <xdr:nvGraphicFramePr>
        <xdr:cNvPr id="8" name="Chart 2">
          <a:extLst>
            <a:ext uri="{FF2B5EF4-FFF2-40B4-BE49-F238E27FC236}">
              <a16:creationId xmlns:a16="http://schemas.microsoft.com/office/drawing/2014/main" id="{00000000-0008-0000-05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27</xdr:row>
      <xdr:rowOff>0</xdr:rowOff>
    </xdr:from>
    <xdr:to>
      <xdr:col>9</xdr:col>
      <xdr:colOff>1139193</xdr:colOff>
      <xdr:row>46</xdr:row>
      <xdr:rowOff>1003</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376684</xdr:colOff>
      <xdr:row>11</xdr:row>
      <xdr:rowOff>4490</xdr:rowOff>
    </xdr:from>
    <xdr:to>
      <xdr:col>10</xdr:col>
      <xdr:colOff>170521</xdr:colOff>
      <xdr:row>18</xdr:row>
      <xdr:rowOff>19730</xdr:rowOff>
    </xdr:to>
    <xdr:pic>
      <xdr:nvPicPr>
        <xdr:cNvPr id="2" name="Picture 1" descr="C:\Documents and Settings\DOTWXC.AD\My Documents\My Pictures\New Picture.bmp">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4770884" y="2163490"/>
          <a:ext cx="1371600" cy="1371600"/>
        </a:xfrm>
        <a:prstGeom prst="ellipse">
          <a:avLst/>
        </a:prstGeom>
        <a:ln>
          <a:noFill/>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626745</xdr:colOff>
      <xdr:row>0</xdr:row>
      <xdr:rowOff>190500</xdr:rowOff>
    </xdr:from>
    <xdr:to>
      <xdr:col>14</xdr:col>
      <xdr:colOff>167687</xdr:colOff>
      <xdr:row>5</xdr:row>
      <xdr:rowOff>202165</xdr:rowOff>
    </xdr:to>
    <xdr:pic>
      <xdr:nvPicPr>
        <xdr:cNvPr id="9" name="Picture 8" descr="C:\Documents and Settings\DOTWXC.AD\My Documents\My Pictures\New Picture.bmp">
          <a:extLst>
            <a:ext uri="{FF2B5EF4-FFF2-40B4-BE49-F238E27FC236}">
              <a16:creationId xmlns:a16="http://schemas.microsoft.com/office/drawing/2014/main" id="{00000000-0008-0000-0700-000009000000}"/>
            </a:ext>
          </a:extLst>
        </xdr:cNvPr>
        <xdr:cNvPicPr/>
      </xdr:nvPicPr>
      <xdr:blipFill>
        <a:blip xmlns:r="http://schemas.openxmlformats.org/officeDocument/2006/relationships" r:embed="rId1" cstate="print"/>
        <a:srcRect/>
        <a:stretch>
          <a:fillRect/>
        </a:stretch>
      </xdr:blipFill>
      <xdr:spPr bwMode="auto">
        <a:xfrm>
          <a:off x="15104745" y="190500"/>
          <a:ext cx="1116377" cy="1063225"/>
        </a:xfrm>
        <a:prstGeom prst="ellipse">
          <a:avLst/>
        </a:prstGeom>
        <a:ln>
          <a:noFill/>
        </a:ln>
        <a:effectLst/>
      </xdr:spPr>
    </xdr:pic>
    <xdr:clientData/>
  </xdr:twoCellAnchor>
  <xdr:twoCellAnchor>
    <xdr:from>
      <xdr:col>0</xdr:col>
      <xdr:colOff>0</xdr:colOff>
      <xdr:row>16</xdr:row>
      <xdr:rowOff>0</xdr:rowOff>
    </xdr:from>
    <xdr:to>
      <xdr:col>6</xdr:col>
      <xdr:colOff>778983</xdr:colOff>
      <xdr:row>34</xdr:row>
      <xdr:rowOff>47625</xdr:rowOff>
    </xdr:to>
    <xdr:graphicFrame macro="">
      <xdr:nvGraphicFramePr>
        <xdr:cNvPr id="15" name="Chart 14">
          <a:extLst>
            <a:ext uri="{FF2B5EF4-FFF2-40B4-BE49-F238E27FC236}">
              <a16:creationId xmlns:a16="http://schemas.microsoft.com/office/drawing/2014/main" id="{00000000-0008-0000-0700-00000F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14</xdr:row>
      <xdr:rowOff>57150</xdr:rowOff>
    </xdr:from>
    <xdr:to>
      <xdr:col>12</xdr:col>
      <xdr:colOff>514350</xdr:colOff>
      <xdr:row>34</xdr:row>
      <xdr:rowOff>57150</xdr:rowOff>
    </xdr:to>
    <xdr:graphicFrame macro="">
      <xdr:nvGraphicFramePr>
        <xdr:cNvPr id="17" name="Chart 16">
          <a:extLst>
            <a:ext uri="{FF2B5EF4-FFF2-40B4-BE49-F238E27FC236}">
              <a16:creationId xmlns:a16="http://schemas.microsoft.com/office/drawing/2014/main" id="{00000000-0008-0000-0700-000011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134409</xdr:colOff>
      <xdr:row>2</xdr:row>
      <xdr:rowOff>95250</xdr:rowOff>
    </xdr:from>
    <xdr:to>
      <xdr:col>1</xdr:col>
      <xdr:colOff>116417</xdr:colOff>
      <xdr:row>7</xdr:row>
      <xdr:rowOff>169755</xdr:rowOff>
    </xdr:to>
    <xdr:pic>
      <xdr:nvPicPr>
        <xdr:cNvPr id="3" name="Picture 2" descr="C:\Documents and Settings\DOTWXC.AD\My Documents\My Pictures\New Picture.bmp">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srcRect/>
        <a:stretch>
          <a:fillRect/>
        </a:stretch>
      </xdr:blipFill>
      <xdr:spPr bwMode="auto">
        <a:xfrm>
          <a:off x="134409" y="95250"/>
          <a:ext cx="1146175" cy="1093258"/>
        </a:xfrm>
        <a:prstGeom prst="ellipse">
          <a:avLst/>
        </a:prstGeom>
        <a:ln>
          <a:noFill/>
        </a:ln>
        <a:effectLst/>
      </xdr:spPr>
    </xdr:pic>
    <xdr:clientData/>
  </xdr:twoCellAnchor>
  <xdr:twoCellAnchor>
    <xdr:from>
      <xdr:col>6</xdr:col>
      <xdr:colOff>0</xdr:colOff>
      <xdr:row>8</xdr:row>
      <xdr:rowOff>0</xdr:rowOff>
    </xdr:from>
    <xdr:to>
      <xdr:col>11</xdr:col>
      <xdr:colOff>829733</xdr:colOff>
      <xdr:row>25</xdr:row>
      <xdr:rowOff>94203</xdr:rowOff>
    </xdr:to>
    <xdr:graphicFrame macro="">
      <xdr:nvGraphicFramePr>
        <xdr:cNvPr id="7" name="Chart 48">
          <a:extLst>
            <a:ext uri="{FF2B5EF4-FFF2-40B4-BE49-F238E27FC236}">
              <a16:creationId xmlns:a16="http://schemas.microsoft.com/office/drawing/2014/main" id="{00000000-0008-0000-08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xdr:row>
      <xdr:rowOff>0</xdr:rowOff>
    </xdr:from>
    <xdr:to>
      <xdr:col>5</xdr:col>
      <xdr:colOff>822960</xdr:colOff>
      <xdr:row>25</xdr:row>
      <xdr:rowOff>56644</xdr:rowOff>
    </xdr:to>
    <xdr:graphicFrame macro="">
      <xdr:nvGraphicFramePr>
        <xdr:cNvPr id="8" name="Chart 7">
          <a:extLst>
            <a:ext uri="{FF2B5EF4-FFF2-40B4-BE49-F238E27FC236}">
              <a16:creationId xmlns:a16="http://schemas.microsoft.com/office/drawing/2014/main" id="{00000000-0008-0000-08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26</xdr:row>
      <xdr:rowOff>0</xdr:rowOff>
    </xdr:from>
    <xdr:to>
      <xdr:col>5</xdr:col>
      <xdr:colOff>835448</xdr:colOff>
      <xdr:row>44</xdr:row>
      <xdr:rowOff>62335</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0.18702</cdr:x>
      <cdr:y>0.17399</cdr:y>
    </cdr:from>
    <cdr:to>
      <cdr:x>0.93207</cdr:x>
      <cdr:y>0.68998</cdr:y>
    </cdr:to>
    <cdr:grpSp>
      <cdr:nvGrpSpPr>
        <cdr:cNvPr id="11" name="Group 6">
          <a:extLst xmlns:a="http://schemas.openxmlformats.org/drawingml/2006/main">
            <a:ext uri="{FF2B5EF4-FFF2-40B4-BE49-F238E27FC236}">
              <a16:creationId xmlns:a16="http://schemas.microsoft.com/office/drawing/2014/main" id="{0E4FCCD0-3CD7-4F05-A24E-71AE32D7134F}"/>
            </a:ext>
          </a:extLst>
        </cdr:cNvPr>
        <cdr:cNvGrpSpPr>
          <a:grpSpLocks xmlns:a="http://schemas.openxmlformats.org/drawingml/2006/main"/>
        </cdr:cNvGrpSpPr>
      </cdr:nvGrpSpPr>
      <cdr:grpSpPr bwMode="auto">
        <a:xfrm xmlns:a="http://schemas.openxmlformats.org/drawingml/2006/main">
          <a:off x="1026067" y="592378"/>
          <a:ext cx="4087642" cy="1756776"/>
          <a:chOff x="941969" y="572350"/>
          <a:chExt cx="3943811" cy="1838580"/>
        </a:xfrm>
      </cdr:grpSpPr>
      <cdr:sp macro="" textlink="">
        <cdr:nvSpPr>
          <cdr:cNvPr id="7169" name="Text Box 1">
            <a:extLst xmlns:a="http://schemas.openxmlformats.org/drawingml/2006/main">
              <a:ext uri="{FF2B5EF4-FFF2-40B4-BE49-F238E27FC236}">
                <a16:creationId xmlns:a16="http://schemas.microsoft.com/office/drawing/2014/main" id="{B2DA4A69-AEE3-45DC-B510-BA859FC9D5B6}"/>
              </a:ext>
            </a:extLst>
          </cdr:cNvPr>
          <cdr:cNvSpPr txBox="1">
            <a:spLocks xmlns:a="http://schemas.openxmlformats.org/drawingml/2006/main" noChangeArrowheads="1"/>
          </cdr:cNvSpPr>
        </cdr:nvSpPr>
        <cdr:spPr bwMode="auto">
          <a:xfrm xmlns:a="http://schemas.openxmlformats.org/drawingml/2006/main">
            <a:off x="941969" y="592684"/>
            <a:ext cx="466744" cy="3824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IV</a:t>
            </a:r>
            <a:br>
              <a:rPr lang="en-US" sz="1200" b="1" i="0" u="none" strike="noStrike" baseline="0">
                <a:solidFill>
                  <a:srgbClr val="000000"/>
                </a:solidFill>
                <a:latin typeface="Arial"/>
                <a:cs typeface="Arial"/>
              </a:rPr>
            </a:br>
            <a:r>
              <a:rPr lang="en-US" sz="1200" b="1" i="0" u="none" strike="noStrike" baseline="0">
                <a:solidFill>
                  <a:srgbClr val="000000"/>
                </a:solidFill>
                <a:latin typeface="Arial"/>
                <a:cs typeface="Arial"/>
              </a:rPr>
              <a:t>Sandy</a:t>
            </a:r>
            <a:endParaRPr lang="en-US"/>
          </a:p>
        </cdr:txBody>
      </cdr:sp>
      <cdr:sp macro="" textlink="">
        <cdr:nvSpPr>
          <cdr:cNvPr id="7170" name="Text Box 2">
            <a:extLst xmlns:a="http://schemas.openxmlformats.org/drawingml/2006/main">
              <a:ext uri="{FF2B5EF4-FFF2-40B4-BE49-F238E27FC236}">
                <a16:creationId xmlns:a16="http://schemas.microsoft.com/office/drawing/2014/main" id="{CFA21250-7080-48F1-BD0D-885793E19CB7}"/>
              </a:ext>
            </a:extLst>
          </cdr:cNvPr>
          <cdr:cNvSpPr txBox="1">
            <a:spLocks xmlns:a="http://schemas.openxmlformats.org/drawingml/2006/main" noChangeArrowheads="1"/>
          </cdr:cNvSpPr>
        </cdr:nvSpPr>
        <cdr:spPr bwMode="auto">
          <a:xfrm xmlns:a="http://schemas.openxmlformats.org/drawingml/2006/main">
            <a:off x="995502" y="1549605"/>
            <a:ext cx="311774" cy="3824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I</a:t>
            </a:r>
            <a:br>
              <a:rPr lang="en-US" sz="1200" b="1" i="0" u="none" strike="noStrike" baseline="0">
                <a:solidFill>
                  <a:srgbClr val="000000"/>
                </a:solidFill>
                <a:latin typeface="Arial"/>
                <a:cs typeface="Arial"/>
              </a:rPr>
            </a:br>
            <a:r>
              <a:rPr lang="en-US" sz="1200" b="1" i="0" u="none" strike="noStrike" baseline="0">
                <a:solidFill>
                  <a:srgbClr val="000000"/>
                </a:solidFill>
                <a:latin typeface="Arial"/>
                <a:cs typeface="Arial"/>
              </a:rPr>
              <a:t>Gap</a:t>
            </a:r>
            <a:endParaRPr lang="en-US"/>
          </a:p>
        </cdr:txBody>
      </cdr:sp>
      <cdr:sp macro="" textlink="">
        <cdr:nvSpPr>
          <cdr:cNvPr id="7171" name="Text Box 3">
            <a:extLst xmlns:a="http://schemas.openxmlformats.org/drawingml/2006/main">
              <a:ext uri="{FF2B5EF4-FFF2-40B4-BE49-F238E27FC236}">
                <a16:creationId xmlns:a16="http://schemas.microsoft.com/office/drawing/2014/main" id="{19A05013-3A06-4817-8F2C-E23627CC571B}"/>
              </a:ext>
            </a:extLst>
          </cdr:cNvPr>
          <cdr:cNvSpPr txBox="1">
            <a:spLocks xmlns:a="http://schemas.openxmlformats.org/drawingml/2006/main" noChangeArrowheads="1"/>
          </cdr:cNvSpPr>
        </cdr:nvSpPr>
        <cdr:spPr bwMode="auto">
          <a:xfrm xmlns:a="http://schemas.openxmlformats.org/drawingml/2006/main">
            <a:off x="2783338" y="789406"/>
            <a:ext cx="87361" cy="1678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US" sz="1200" b="1" i="0" u="none" strike="noStrike" baseline="0">
                <a:solidFill>
                  <a:srgbClr val="000000"/>
                </a:solidFill>
                <a:latin typeface="Arial"/>
                <a:cs typeface="Arial"/>
              </a:rPr>
              <a:t>II</a:t>
            </a:r>
            <a:endParaRPr lang="en-US"/>
          </a:p>
        </cdr:txBody>
      </cdr:sp>
      <cdr:sp macro="" textlink="">
        <cdr:nvSpPr>
          <cdr:cNvPr id="7172" name="Text Box 4">
            <a:extLst xmlns:a="http://schemas.openxmlformats.org/drawingml/2006/main">
              <a:ext uri="{FF2B5EF4-FFF2-40B4-BE49-F238E27FC236}">
                <a16:creationId xmlns:a16="http://schemas.microsoft.com/office/drawing/2014/main" id="{ACE23670-9D16-4924-80EC-B7CAD4BA6C4A}"/>
              </a:ext>
            </a:extLst>
          </cdr:cNvPr>
          <cdr:cNvSpPr txBox="1">
            <a:spLocks xmlns:a="http://schemas.openxmlformats.org/drawingml/2006/main" noChangeArrowheads="1"/>
          </cdr:cNvSpPr>
        </cdr:nvSpPr>
        <cdr:spPr bwMode="auto">
          <a:xfrm xmlns:a="http://schemas.openxmlformats.org/drawingml/2006/main">
            <a:off x="4141925" y="572350"/>
            <a:ext cx="743855" cy="3824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III</a:t>
            </a:r>
            <a:br>
              <a:rPr lang="en-US" sz="1200" b="1" i="0" u="none" strike="noStrike" baseline="0">
                <a:solidFill>
                  <a:srgbClr val="000000"/>
                </a:solidFill>
                <a:latin typeface="Arial"/>
                <a:cs typeface="Arial"/>
              </a:rPr>
            </a:br>
            <a:r>
              <a:rPr lang="en-US" sz="1200" b="1" i="0" u="none" strike="noStrike" baseline="0">
                <a:solidFill>
                  <a:srgbClr val="000000"/>
                </a:solidFill>
                <a:latin typeface="Arial"/>
                <a:cs typeface="Arial"/>
              </a:rPr>
              <a:t>Small Agg</a:t>
            </a:r>
            <a:endParaRPr lang="en-US"/>
          </a:p>
        </cdr:txBody>
      </cdr:sp>
      <cdr:sp macro="" textlink="">
        <cdr:nvSpPr>
          <cdr:cNvPr id="7173" name="Text Box 5">
            <a:extLst xmlns:a="http://schemas.openxmlformats.org/drawingml/2006/main">
              <a:ext uri="{FF2B5EF4-FFF2-40B4-BE49-F238E27FC236}">
                <a16:creationId xmlns:a16="http://schemas.microsoft.com/office/drawing/2014/main" id="{5C04BF4D-5CCE-486C-B4C6-D8C273CD5413}"/>
              </a:ext>
            </a:extLst>
          </cdr:cNvPr>
          <cdr:cNvSpPr txBox="1">
            <a:spLocks xmlns:a="http://schemas.openxmlformats.org/drawingml/2006/main" noChangeArrowheads="1"/>
          </cdr:cNvSpPr>
        </cdr:nvSpPr>
        <cdr:spPr bwMode="auto">
          <a:xfrm xmlns:a="http://schemas.openxmlformats.org/drawingml/2006/main">
            <a:off x="3423902" y="2028455"/>
            <a:ext cx="523901" cy="3824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V</a:t>
            </a:r>
            <a:br>
              <a:rPr lang="en-US" sz="1200" b="1" i="0" u="none" strike="noStrike" baseline="0">
                <a:solidFill>
                  <a:srgbClr val="000000"/>
                </a:solidFill>
                <a:latin typeface="Arial"/>
                <a:cs typeface="Arial"/>
              </a:rPr>
            </a:br>
            <a:r>
              <a:rPr lang="en-US" sz="1200" b="1" i="0" u="none" strike="noStrike" baseline="0">
                <a:solidFill>
                  <a:srgbClr val="000000"/>
                </a:solidFill>
                <a:latin typeface="Arial"/>
                <a:cs typeface="Arial"/>
              </a:rPr>
              <a:t>Coarse</a:t>
            </a:r>
            <a:endParaRPr lang="en-US"/>
          </a:p>
        </cdr:txBody>
      </cdr:sp>
    </cdr:grpSp>
  </cdr:relSizeAnchor>
</c:userShapes>
</file>

<file path=xl/persons/person.xml><?xml version="1.0" encoding="utf-8"?>
<personList xmlns="http://schemas.microsoft.com/office/spreadsheetml/2018/threadedcomments" xmlns:x="http://schemas.openxmlformats.org/spreadsheetml/2006/main">
  <person displayName="Finnell, Mark W - DOT (DTSD Consultant)" id="{08C94483-FFC6-4409-86C8-5119D9DBC0FA}" userId="S::mark.finnell@dot.wi.gov::fc707ee4-04e6-424a-8fb6-f5ce4cfd5ed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7" dT="2021-08-19T18:46:25.50" personId="{08C94483-FFC6-4409-86C8-5119D9DBC0FA}" id="{8DC8BEB8-DE99-4CE3-90ED-107E1FCC9DEB}">
    <text>P200 Requirement.</text>
  </threadedComment>
  <threadedComment ref="O17" dT="2021-08-19T18:46:25.50" personId="{08C94483-FFC6-4409-86C8-5119D9DBC0FA}" id="{B7743659-4CDC-4672-BE9C-CF320EC20EF0}">
    <text>P200 Requirement.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BA52F-C868-45A2-90B2-874037D47FAA}">
  <dimension ref="A1:Q138"/>
  <sheetViews>
    <sheetView showGridLines="0" tabSelected="1" zoomScaleNormal="100" zoomScaleSheetLayoutView="110" zoomScalePageLayoutView="90" workbookViewId="0">
      <selection sqref="A1:H1"/>
    </sheetView>
  </sheetViews>
  <sheetFormatPr defaultColWidth="8.85546875" defaultRowHeight="15" x14ac:dyDescent="0.25"/>
  <cols>
    <col min="1" max="1" width="3.42578125" style="504" customWidth="1"/>
    <col min="2" max="11" width="8.85546875" style="504"/>
    <col min="12" max="12" width="13" style="504" customWidth="1"/>
    <col min="13" max="15" width="8.85546875" style="504"/>
    <col min="16" max="16" width="9.7109375" style="504" customWidth="1"/>
    <col min="17" max="26" width="8.85546875" style="504"/>
    <col min="27" max="27" width="5.7109375" style="504" customWidth="1"/>
    <col min="28" max="16384" width="8.85546875" style="504"/>
  </cols>
  <sheetData>
    <row r="1" spans="1:16" ht="16.5" thickBot="1" x14ac:dyDescent="0.3">
      <c r="A1" s="802" t="s">
        <v>364</v>
      </c>
      <c r="B1" s="803"/>
      <c r="C1" s="803"/>
      <c r="D1" s="803"/>
      <c r="E1" s="803"/>
      <c r="F1" s="803"/>
      <c r="G1" s="803"/>
      <c r="H1" s="803"/>
      <c r="I1" s="804" t="s">
        <v>365</v>
      </c>
      <c r="J1" s="804"/>
      <c r="K1" s="804"/>
      <c r="L1" s="805"/>
    </row>
    <row r="2" spans="1:16" ht="15.75" thickBot="1" x14ac:dyDescent="0.3">
      <c r="A2" s="806" t="s">
        <v>607</v>
      </c>
      <c r="B2" s="806"/>
      <c r="C2" s="806"/>
      <c r="D2" s="806"/>
      <c r="E2" s="806"/>
      <c r="F2" s="806"/>
      <c r="G2" s="806"/>
      <c r="H2" s="806"/>
      <c r="I2" s="806"/>
      <c r="J2" s="806"/>
      <c r="K2" s="806"/>
      <c r="L2" s="806"/>
    </row>
    <row r="3" spans="1:16" ht="15.75" thickBot="1" x14ac:dyDescent="0.3">
      <c r="A3" s="814" t="s">
        <v>3</v>
      </c>
      <c r="B3" s="815"/>
      <c r="C3" s="815"/>
      <c r="D3" s="815"/>
      <c r="E3" s="815"/>
      <c r="F3" s="815"/>
      <c r="G3" s="815"/>
      <c r="H3" s="815"/>
      <c r="I3" s="815"/>
      <c r="J3" s="815"/>
      <c r="K3" s="815"/>
      <c r="L3" s="816"/>
    </row>
    <row r="4" spans="1:16" x14ac:dyDescent="0.25">
      <c r="A4" s="505" t="s">
        <v>4</v>
      </c>
      <c r="B4" s="817" t="s">
        <v>5</v>
      </c>
      <c r="C4" s="817"/>
      <c r="D4" s="817"/>
      <c r="E4" s="817"/>
      <c r="F4" s="817"/>
      <c r="G4" s="817"/>
      <c r="H4" s="817"/>
      <c r="I4" s="817"/>
      <c r="J4" s="817"/>
      <c r="K4" s="817"/>
      <c r="L4" s="818"/>
    </row>
    <row r="5" spans="1:16" ht="28.15" customHeight="1" x14ac:dyDescent="0.25">
      <c r="A5" s="506" t="s">
        <v>6</v>
      </c>
      <c r="B5" s="819" t="s">
        <v>591</v>
      </c>
      <c r="C5" s="819"/>
      <c r="D5" s="819"/>
      <c r="E5" s="819"/>
      <c r="F5" s="819"/>
      <c r="G5" s="819"/>
      <c r="H5" s="819"/>
      <c r="I5" s="819"/>
      <c r="J5" s="819"/>
      <c r="K5" s="819"/>
      <c r="L5" s="820"/>
    </row>
    <row r="6" spans="1:16" x14ac:dyDescent="0.25">
      <c r="A6" s="507" t="s">
        <v>7</v>
      </c>
      <c r="B6" s="821" t="s">
        <v>8</v>
      </c>
      <c r="C6" s="821"/>
      <c r="D6" s="821"/>
      <c r="E6" s="821"/>
      <c r="F6" s="821"/>
      <c r="G6" s="821"/>
      <c r="H6" s="821"/>
      <c r="I6" s="821"/>
      <c r="J6" s="821"/>
      <c r="K6" s="821"/>
      <c r="L6" s="822"/>
    </row>
    <row r="7" spans="1:16" x14ac:dyDescent="0.25">
      <c r="A7" s="506" t="s">
        <v>9</v>
      </c>
      <c r="B7" s="823" t="s">
        <v>10</v>
      </c>
      <c r="C7" s="823"/>
      <c r="D7" s="823"/>
      <c r="E7" s="823"/>
      <c r="F7" s="823"/>
      <c r="G7" s="823"/>
      <c r="H7" s="823"/>
      <c r="I7" s="823"/>
      <c r="J7" s="823"/>
      <c r="K7" s="823"/>
      <c r="L7" s="824"/>
    </row>
    <row r="8" spans="1:16" ht="15.75" thickBot="1" x14ac:dyDescent="0.3">
      <c r="A8" s="508" t="s">
        <v>11</v>
      </c>
      <c r="B8" s="825" t="s">
        <v>12</v>
      </c>
      <c r="C8" s="825"/>
      <c r="D8" s="825"/>
      <c r="E8" s="825"/>
      <c r="F8" s="825"/>
      <c r="G8" s="825"/>
      <c r="H8" s="825"/>
      <c r="I8" s="825"/>
      <c r="J8" s="825"/>
      <c r="K8" s="825"/>
      <c r="L8" s="826"/>
      <c r="N8" s="801" t="s">
        <v>606</v>
      </c>
      <c r="O8" s="801"/>
    </row>
    <row r="9" spans="1:16" ht="15" customHeight="1" thickBot="1" x14ac:dyDescent="0.3">
      <c r="A9" s="510"/>
    </row>
    <row r="10" spans="1:16" ht="15" customHeight="1" thickBot="1" x14ac:dyDescent="0.3">
      <c r="A10" s="802" t="s">
        <v>161</v>
      </c>
      <c r="B10" s="803"/>
      <c r="C10" s="803"/>
      <c r="D10" s="803"/>
      <c r="E10" s="803"/>
      <c r="F10" s="803"/>
      <c r="G10" s="803"/>
      <c r="H10" s="803"/>
      <c r="I10" s="803"/>
      <c r="J10" s="803"/>
      <c r="K10" s="803"/>
      <c r="L10" s="803"/>
      <c r="M10" s="803"/>
      <c r="N10" s="803"/>
      <c r="O10" s="803"/>
      <c r="P10" s="810"/>
    </row>
    <row r="11" spans="1:16" ht="14.65" customHeight="1" x14ac:dyDescent="0.25">
      <c r="A11" s="511" t="s">
        <v>162</v>
      </c>
      <c r="B11" s="512"/>
      <c r="M11" s="581"/>
    </row>
    <row r="12" spans="1:16" ht="14.65" customHeight="1" x14ac:dyDescent="0.25">
      <c r="A12" s="513"/>
      <c r="B12" s="509" t="s">
        <v>372</v>
      </c>
      <c r="M12" s="581"/>
    </row>
    <row r="13" spans="1:16" ht="14.65" customHeight="1" x14ac:dyDescent="0.25">
      <c r="A13" s="513"/>
      <c r="B13" s="509" t="s">
        <v>403</v>
      </c>
      <c r="M13" s="581"/>
    </row>
    <row r="14" spans="1:16" ht="14.65" customHeight="1" x14ac:dyDescent="0.25">
      <c r="A14" s="513"/>
      <c r="B14" s="509" t="s">
        <v>505</v>
      </c>
      <c r="M14" s="581"/>
    </row>
    <row r="15" spans="1:16" ht="14.65" customHeight="1" x14ac:dyDescent="0.25">
      <c r="A15" s="513"/>
      <c r="B15" s="509" t="s">
        <v>506</v>
      </c>
      <c r="M15" s="581"/>
    </row>
    <row r="16" spans="1:16" ht="14.65" customHeight="1" x14ac:dyDescent="0.25">
      <c r="A16" s="513"/>
      <c r="B16" s="509" t="s">
        <v>498</v>
      </c>
      <c r="C16" s="514"/>
      <c r="D16" s="514"/>
      <c r="E16" s="514"/>
      <c r="F16" s="514"/>
      <c r="G16" s="514"/>
      <c r="H16" s="514"/>
      <c r="I16" s="514"/>
      <c r="J16" s="514"/>
      <c r="M16" s="581"/>
    </row>
    <row r="17" spans="1:16" ht="14.65" customHeight="1" x14ac:dyDescent="0.25">
      <c r="A17" s="513"/>
      <c r="B17" s="514" t="s">
        <v>579</v>
      </c>
      <c r="C17" s="514"/>
      <c r="D17" s="514"/>
      <c r="E17" s="514"/>
      <c r="F17" s="514"/>
      <c r="G17" s="514"/>
      <c r="H17" s="514"/>
      <c r="I17" s="514"/>
      <c r="J17" s="514"/>
      <c r="M17" s="581"/>
    </row>
    <row r="18" spans="1:16" ht="14.65" customHeight="1" x14ac:dyDescent="0.25">
      <c r="A18" s="513"/>
      <c r="B18" s="514" t="s">
        <v>375</v>
      </c>
      <c r="C18" s="514"/>
      <c r="D18" s="514"/>
      <c r="E18" s="514"/>
      <c r="F18" s="514"/>
      <c r="G18" s="514"/>
      <c r="H18" s="514"/>
      <c r="I18" s="514"/>
      <c r="J18" s="514"/>
      <c r="M18" s="581"/>
    </row>
    <row r="19" spans="1:16" ht="14.45" customHeight="1" thickBot="1" x14ac:dyDescent="0.3">
      <c r="B19" s="514" t="s">
        <v>376</v>
      </c>
      <c r="M19" s="581"/>
    </row>
    <row r="20" spans="1:16" ht="15.75" thickBot="1" x14ac:dyDescent="0.3">
      <c r="B20" s="830" t="s">
        <v>333</v>
      </c>
      <c r="C20" s="831"/>
      <c r="D20" s="831"/>
      <c r="E20" s="831"/>
      <c r="F20" s="832"/>
      <c r="G20" s="762"/>
      <c r="H20" s="762"/>
      <c r="I20" s="762"/>
      <c r="M20" s="581"/>
    </row>
    <row r="21" spans="1:16" ht="15.75" thickBot="1" x14ac:dyDescent="0.3">
      <c r="B21" s="515" t="s">
        <v>0</v>
      </c>
      <c r="C21" s="743"/>
      <c r="D21" s="744"/>
      <c r="N21" s="581"/>
      <c r="O21" s="581"/>
      <c r="P21" s="581"/>
    </row>
    <row r="22" spans="1:16" ht="15.75" thickBot="1" x14ac:dyDescent="0.3">
      <c r="B22" s="827" t="s">
        <v>550</v>
      </c>
      <c r="C22" s="828"/>
      <c r="D22" s="829"/>
    </row>
    <row r="23" spans="1:16" ht="15.75" thickBot="1" x14ac:dyDescent="0.3">
      <c r="B23" s="811" t="s">
        <v>550</v>
      </c>
      <c r="C23" s="812"/>
      <c r="D23" s="813"/>
      <c r="E23" s="753"/>
      <c r="F23" s="753"/>
      <c r="G23" s="753"/>
    </row>
    <row r="24" spans="1:16" ht="15.75" thickBot="1" x14ac:dyDescent="0.3">
      <c r="B24" s="764"/>
      <c r="C24" s="764"/>
      <c r="D24" s="764"/>
      <c r="E24" s="753"/>
      <c r="F24" s="753"/>
      <c r="G24" s="753"/>
    </row>
    <row r="25" spans="1:16" ht="16.5" thickBot="1" x14ac:dyDescent="0.3">
      <c r="A25" s="807" t="s">
        <v>590</v>
      </c>
      <c r="B25" s="808"/>
      <c r="C25" s="808"/>
      <c r="D25" s="808"/>
      <c r="E25" s="808"/>
      <c r="F25" s="808"/>
      <c r="G25" s="808"/>
      <c r="H25" s="808"/>
      <c r="I25" s="808"/>
      <c r="J25" s="808"/>
      <c r="K25" s="808"/>
      <c r="L25" s="808"/>
      <c r="M25" s="808"/>
      <c r="N25" s="808"/>
      <c r="O25" s="808"/>
      <c r="P25" s="809"/>
    </row>
    <row r="26" spans="1:16" ht="15.75" thickBot="1" x14ac:dyDescent="0.3">
      <c r="A26" s="798" t="s">
        <v>332</v>
      </c>
      <c r="B26" s="799"/>
      <c r="C26" s="799"/>
      <c r="D26" s="799"/>
      <c r="E26" s="799"/>
      <c r="F26" s="799"/>
      <c r="G26" s="799"/>
      <c r="H26" s="799"/>
      <c r="I26" s="799"/>
      <c r="J26" s="799"/>
      <c r="K26" s="799"/>
      <c r="L26" s="799"/>
      <c r="M26" s="799"/>
      <c r="N26" s="799"/>
      <c r="O26" s="799"/>
      <c r="P26" s="800"/>
    </row>
    <row r="27" spans="1:16" x14ac:dyDescent="0.25">
      <c r="A27"/>
      <c r="B27" t="s">
        <v>500</v>
      </c>
    </row>
    <row r="28" spans="1:16" ht="14.65" customHeight="1" x14ac:dyDescent="0.25">
      <c r="A28"/>
      <c r="B28" t="s">
        <v>501</v>
      </c>
    </row>
    <row r="29" spans="1:16" ht="14.65" customHeight="1" x14ac:dyDescent="0.25">
      <c r="A29"/>
      <c r="B29" t="s">
        <v>502</v>
      </c>
    </row>
    <row r="30" spans="1:16" ht="14.65" customHeight="1" x14ac:dyDescent="0.25">
      <c r="A30"/>
      <c r="B30" s="516" t="s">
        <v>530</v>
      </c>
    </row>
    <row r="31" spans="1:16" ht="14.65" customHeight="1" x14ac:dyDescent="0.25">
      <c r="A31"/>
      <c r="B31" t="s">
        <v>583</v>
      </c>
    </row>
    <row r="32" spans="1:16" ht="14.65" customHeight="1" x14ac:dyDescent="0.25">
      <c r="A32"/>
      <c r="B32" t="s">
        <v>584</v>
      </c>
    </row>
    <row r="33" spans="1:16" ht="14.65" customHeight="1" x14ac:dyDescent="0.25">
      <c r="A33"/>
      <c r="B33" s="748" t="s">
        <v>532</v>
      </c>
    </row>
    <row r="34" spans="1:16" ht="14.65" customHeight="1" x14ac:dyDescent="0.25">
      <c r="B34" s="517" t="s">
        <v>531</v>
      </c>
      <c r="D34" s="510"/>
      <c r="E34" s="510"/>
      <c r="F34" s="518"/>
      <c r="G34" s="518"/>
      <c r="H34" s="518"/>
      <c r="I34" s="518"/>
      <c r="J34" s="518"/>
      <c r="K34" s="518"/>
    </row>
    <row r="35" spans="1:16" x14ac:dyDescent="0.25">
      <c r="B35" s="504" t="s">
        <v>528</v>
      </c>
      <c r="J35" s="519"/>
    </row>
    <row r="36" spans="1:16" x14ac:dyDescent="0.25">
      <c r="B36" s="504" t="s">
        <v>529</v>
      </c>
      <c r="J36" s="519"/>
    </row>
    <row r="37" spans="1:16" ht="14.65" customHeight="1" x14ac:dyDescent="0.25">
      <c r="B37" s="504" t="s">
        <v>580</v>
      </c>
    </row>
    <row r="38" spans="1:16" ht="14.65" customHeight="1" x14ac:dyDescent="0.25">
      <c r="C38" s="509" t="s">
        <v>368</v>
      </c>
    </row>
    <row r="39" spans="1:16" ht="14.65" customHeight="1" x14ac:dyDescent="0.25">
      <c r="C39" s="509" t="s">
        <v>369</v>
      </c>
    </row>
    <row r="40" spans="1:16" ht="14.65" customHeight="1" thickBot="1" x14ac:dyDescent="0.3">
      <c r="C40" s="509"/>
    </row>
    <row r="41" spans="1:16" ht="14.65" customHeight="1" thickBot="1" x14ac:dyDescent="0.3">
      <c r="A41" s="795" t="s">
        <v>373</v>
      </c>
      <c r="B41" s="796"/>
      <c r="C41" s="796"/>
      <c r="D41" s="796"/>
      <c r="E41" s="796"/>
      <c r="F41" s="796"/>
      <c r="G41" s="796"/>
      <c r="H41" s="796"/>
      <c r="I41" s="796"/>
      <c r="J41" s="796"/>
      <c r="K41" s="796"/>
      <c r="L41" s="796"/>
      <c r="M41" s="796"/>
      <c r="N41" s="796"/>
      <c r="O41" s="796"/>
      <c r="P41" s="797"/>
    </row>
    <row r="42" spans="1:16" ht="14.65" customHeight="1" x14ac:dyDescent="0.25">
      <c r="B42" s="520" t="s">
        <v>503</v>
      </c>
      <c r="C42" s="510"/>
      <c r="D42" s="510"/>
      <c r="E42" s="510"/>
      <c r="F42" s="510"/>
      <c r="G42" s="510"/>
      <c r="H42" s="510"/>
      <c r="I42" s="510"/>
    </row>
    <row r="43" spans="1:16" ht="14.65" customHeight="1" x14ac:dyDescent="0.25">
      <c r="B43" s="520"/>
      <c r="C43" s="510" t="s">
        <v>434</v>
      </c>
      <c r="D43" s="510"/>
      <c r="E43" s="510"/>
      <c r="F43" s="510"/>
      <c r="G43" s="510"/>
      <c r="H43" s="510"/>
      <c r="I43" s="510"/>
    </row>
    <row r="44" spans="1:16" ht="14.65" customHeight="1" x14ac:dyDescent="0.25">
      <c r="B44" s="520" t="s">
        <v>545</v>
      </c>
      <c r="C44" s="510"/>
      <c r="D44" s="510"/>
      <c r="E44" s="510"/>
      <c r="F44" s="510"/>
      <c r="G44" s="510"/>
      <c r="H44" s="510"/>
    </row>
    <row r="45" spans="1:16" x14ac:dyDescent="0.25">
      <c r="B45" s="520" t="s">
        <v>546</v>
      </c>
      <c r="C45" s="510"/>
      <c r="D45" s="510"/>
      <c r="E45" s="510"/>
      <c r="F45" s="518"/>
      <c r="G45" s="518"/>
      <c r="H45" s="518"/>
      <c r="I45" s="518"/>
      <c r="J45" s="518"/>
      <c r="K45" s="518"/>
    </row>
    <row r="46" spans="1:16" ht="15.75" thickBot="1" x14ac:dyDescent="0.3"/>
    <row r="47" spans="1:16" ht="14.65" customHeight="1" thickBot="1" x14ac:dyDescent="0.3">
      <c r="A47" s="795" t="s">
        <v>334</v>
      </c>
      <c r="B47" s="796"/>
      <c r="C47" s="796"/>
      <c r="D47" s="796"/>
      <c r="E47" s="796"/>
      <c r="F47" s="796"/>
      <c r="G47" s="796"/>
      <c r="H47" s="796"/>
      <c r="I47" s="796"/>
      <c r="J47" s="796"/>
      <c r="K47" s="796"/>
      <c r="L47" s="796"/>
      <c r="M47" s="796"/>
      <c r="N47" s="796"/>
      <c r="O47" s="796"/>
      <c r="P47" s="797"/>
    </row>
    <row r="48" spans="1:16" ht="14.65" customHeight="1" x14ac:dyDescent="0.25">
      <c r="B48" s="510" t="s">
        <v>593</v>
      </c>
    </row>
    <row r="49" spans="2:17" ht="14.65" customHeight="1" x14ac:dyDescent="0.25">
      <c r="B49" s="510"/>
      <c r="C49" s="504" t="s">
        <v>594</v>
      </c>
      <c r="E49" s="510"/>
      <c r="F49" s="510"/>
      <c r="G49" s="510"/>
      <c r="H49" s="510"/>
      <c r="I49" s="510"/>
      <c r="J49" s="510"/>
      <c r="K49" s="510"/>
      <c r="L49" s="510"/>
    </row>
    <row r="50" spans="2:17" x14ac:dyDescent="0.25">
      <c r="B50" s="510"/>
      <c r="C50" s="504" t="s">
        <v>544</v>
      </c>
      <c r="E50" s="510"/>
      <c r="F50" s="510"/>
      <c r="G50" s="510"/>
      <c r="H50" s="510"/>
      <c r="I50" s="510"/>
      <c r="J50" s="510"/>
      <c r="K50" s="510"/>
      <c r="L50" s="510"/>
    </row>
    <row r="51" spans="2:17" ht="14.65" customHeight="1" x14ac:dyDescent="0.25">
      <c r="B51" s="510"/>
      <c r="C51" s="522" t="s">
        <v>370</v>
      </c>
      <c r="I51" s="523"/>
      <c r="Q51" s="510" t="s">
        <v>2</v>
      </c>
    </row>
    <row r="52" spans="2:17" ht="14.65" customHeight="1" x14ac:dyDescent="0.25">
      <c r="B52" s="510"/>
      <c r="C52" s="522" t="s">
        <v>445</v>
      </c>
      <c r="I52" s="523"/>
      <c r="Q52" s="510"/>
    </row>
    <row r="53" spans="2:17" ht="14.65" customHeight="1" x14ac:dyDescent="0.25">
      <c r="B53" s="510" t="s">
        <v>543</v>
      </c>
      <c r="I53" s="519"/>
      <c r="J53" s="523"/>
      <c r="Q53" s="510"/>
    </row>
    <row r="54" spans="2:17" ht="14.65" customHeight="1" x14ac:dyDescent="0.25">
      <c r="B54" s="510" t="s">
        <v>533</v>
      </c>
      <c r="I54" s="519"/>
      <c r="J54" s="523"/>
      <c r="Q54" s="510"/>
    </row>
    <row r="55" spans="2:17" ht="14.65" customHeight="1" x14ac:dyDescent="0.25">
      <c r="B55" s="510" t="s">
        <v>595</v>
      </c>
      <c r="I55" s="519"/>
      <c r="J55" s="523"/>
      <c r="Q55" s="510"/>
    </row>
    <row r="56" spans="2:17" ht="14.65" customHeight="1" x14ac:dyDescent="0.25">
      <c r="B56" s="510" t="s">
        <v>542</v>
      </c>
      <c r="I56" s="519"/>
      <c r="J56" s="523"/>
      <c r="Q56" s="510"/>
    </row>
    <row r="57" spans="2:17" x14ac:dyDescent="0.25">
      <c r="B57" s="510"/>
      <c r="C57" s="517" t="s">
        <v>596</v>
      </c>
      <c r="K57" s="521"/>
    </row>
    <row r="58" spans="2:17" x14ac:dyDescent="0.25">
      <c r="B58" s="510" t="s">
        <v>504</v>
      </c>
      <c r="C58" s="510"/>
      <c r="D58" s="510"/>
      <c r="K58" s="521"/>
    </row>
    <row r="59" spans="2:17" x14ac:dyDescent="0.25">
      <c r="C59" s="522" t="s">
        <v>597</v>
      </c>
      <c r="D59" s="510"/>
      <c r="K59" s="521"/>
    </row>
    <row r="60" spans="2:17" x14ac:dyDescent="0.25">
      <c r="C60" s="522" t="s">
        <v>444</v>
      </c>
    </row>
    <row r="61" spans="2:17" ht="14.65" customHeight="1" x14ac:dyDescent="0.25">
      <c r="B61" s="510" t="s">
        <v>547</v>
      </c>
      <c r="C61" s="510"/>
      <c r="D61" s="510"/>
    </row>
    <row r="62" spans="2:17" x14ac:dyDescent="0.25">
      <c r="B62" s="510" t="s">
        <v>538</v>
      </c>
    </row>
    <row r="63" spans="2:17" x14ac:dyDescent="0.25">
      <c r="B63" s="504" t="s">
        <v>539</v>
      </c>
    </row>
    <row r="64" spans="2:17" x14ac:dyDescent="0.25">
      <c r="C64" s="522" t="s">
        <v>540</v>
      </c>
    </row>
    <row r="65" spans="1:16" ht="14.45" customHeight="1" thickBot="1" x14ac:dyDescent="0.3">
      <c r="C65" s="522" t="s">
        <v>541</v>
      </c>
      <c r="K65" s="523"/>
    </row>
    <row r="66" spans="1:16" ht="16.5" thickBot="1" x14ac:dyDescent="0.3">
      <c r="A66" s="802" t="s">
        <v>364</v>
      </c>
      <c r="B66" s="803"/>
      <c r="C66" s="803"/>
      <c r="D66" s="803"/>
      <c r="E66" s="803"/>
      <c r="F66" s="803"/>
      <c r="G66" s="803"/>
      <c r="H66" s="803"/>
      <c r="I66" s="804" t="s">
        <v>365</v>
      </c>
      <c r="J66" s="804"/>
      <c r="K66" s="804"/>
      <c r="L66" s="805"/>
    </row>
    <row r="67" spans="1:16" ht="15.75" thickBot="1" x14ac:dyDescent="0.3">
      <c r="A67" s="806" t="str">
        <f>A2</f>
        <v>DT2221     08/2022</v>
      </c>
      <c r="B67" s="806"/>
      <c r="C67" s="806"/>
      <c r="D67" s="806"/>
      <c r="E67" s="806"/>
      <c r="F67" s="806"/>
      <c r="G67" s="806"/>
      <c r="H67" s="806"/>
      <c r="I67" s="806"/>
      <c r="J67" s="806"/>
      <c r="K67" s="806"/>
      <c r="L67" s="806"/>
    </row>
    <row r="68" spans="1:16" ht="15.75" thickBot="1" x14ac:dyDescent="0.3">
      <c r="A68" s="795" t="s">
        <v>588</v>
      </c>
      <c r="B68" s="796"/>
      <c r="C68" s="796"/>
      <c r="D68" s="796"/>
      <c r="E68" s="796"/>
      <c r="F68" s="796"/>
      <c r="G68" s="796"/>
      <c r="H68" s="796"/>
      <c r="I68" s="796"/>
      <c r="J68" s="796"/>
      <c r="K68" s="796"/>
      <c r="L68" s="796"/>
      <c r="M68" s="796"/>
      <c r="N68" s="796"/>
      <c r="O68" s="796"/>
      <c r="P68" s="797"/>
    </row>
    <row r="69" spans="1:16" x14ac:dyDescent="0.25">
      <c r="A69" s="521"/>
      <c r="B69" s="509" t="s">
        <v>581</v>
      </c>
      <c r="C69" s="521"/>
      <c r="D69" s="521"/>
      <c r="E69" s="521"/>
      <c r="F69" s="521"/>
      <c r="G69" s="521"/>
      <c r="H69" s="521"/>
      <c r="I69" s="521"/>
      <c r="J69" s="521"/>
      <c r="K69" s="523"/>
    </row>
    <row r="70" spans="1:16" x14ac:dyDescent="0.25">
      <c r="A70" s="521"/>
      <c r="B70" s="510" t="s">
        <v>578</v>
      </c>
      <c r="C70" s="510"/>
      <c r="D70" s="510"/>
      <c r="E70" s="510"/>
      <c r="F70" s="510"/>
      <c r="G70" s="510"/>
      <c r="H70" s="510"/>
      <c r="I70" s="510"/>
      <c r="J70" s="510"/>
      <c r="K70" s="523"/>
    </row>
    <row r="71" spans="1:16" x14ac:dyDescent="0.25">
      <c r="B71" s="510" t="s">
        <v>564</v>
      </c>
      <c r="K71" s="523"/>
    </row>
    <row r="72" spans="1:16" x14ac:dyDescent="0.25">
      <c r="B72" s="510" t="s">
        <v>585</v>
      </c>
      <c r="K72" s="523"/>
    </row>
    <row r="73" spans="1:16" x14ac:dyDescent="0.25">
      <c r="B73" s="520" t="s">
        <v>570</v>
      </c>
      <c r="K73" s="523"/>
    </row>
    <row r="74" spans="1:16" x14ac:dyDescent="0.25">
      <c r="B74" s="520" t="s">
        <v>599</v>
      </c>
      <c r="K74" s="523"/>
    </row>
    <row r="75" spans="1:16" x14ac:dyDescent="0.25">
      <c r="B75" s="520" t="s">
        <v>571</v>
      </c>
      <c r="C75" s="106"/>
      <c r="K75" s="523"/>
    </row>
    <row r="76" spans="1:16" x14ac:dyDescent="0.25">
      <c r="B76" s="520" t="s">
        <v>586</v>
      </c>
      <c r="K76" s="523"/>
    </row>
    <row r="77" spans="1:16" x14ac:dyDescent="0.25">
      <c r="A77" s="521"/>
      <c r="B77" s="106" t="s">
        <v>572</v>
      </c>
      <c r="C77" s="106"/>
      <c r="D77" s="92"/>
      <c r="E77" s="524"/>
      <c r="F77" s="504" t="s">
        <v>163</v>
      </c>
      <c r="G77" s="524" t="s">
        <v>360</v>
      </c>
      <c r="H77" t="s">
        <v>569</v>
      </c>
      <c r="I77" s="524" t="s">
        <v>360</v>
      </c>
      <c r="J77" s="106" t="s">
        <v>1</v>
      </c>
      <c r="K77" s="523"/>
    </row>
    <row r="78" spans="1:16" x14ac:dyDescent="0.25">
      <c r="B78" s="106" t="s">
        <v>573</v>
      </c>
      <c r="C78" s="106"/>
      <c r="K78" s="523"/>
    </row>
    <row r="79" spans="1:16" x14ac:dyDescent="0.25">
      <c r="B79" s="520"/>
      <c r="C79" s="106" t="s">
        <v>507</v>
      </c>
      <c r="D79" s="523"/>
      <c r="E79" s="523"/>
      <c r="F79" s="523"/>
      <c r="G79" s="523"/>
      <c r="H79" s="523"/>
      <c r="I79" s="523"/>
      <c r="J79" s="523"/>
      <c r="K79" s="523"/>
    </row>
    <row r="80" spans="1:16" x14ac:dyDescent="0.25">
      <c r="B80" s="760"/>
      <c r="C80" s="520" t="s">
        <v>335</v>
      </c>
      <c r="D80" s="523"/>
      <c r="E80" s="523"/>
      <c r="F80" s="523"/>
      <c r="G80" s="523"/>
      <c r="H80" s="523"/>
      <c r="I80" s="523"/>
      <c r="J80" s="523"/>
      <c r="K80" s="523"/>
    </row>
    <row r="81" spans="1:16" x14ac:dyDescent="0.25">
      <c r="B81" s="760"/>
      <c r="C81" s="520" t="s">
        <v>336</v>
      </c>
      <c r="D81" s="523"/>
      <c r="E81" s="523"/>
      <c r="F81" s="523"/>
      <c r="G81" s="523"/>
      <c r="H81" s="523"/>
      <c r="I81" s="523"/>
      <c r="J81" s="523"/>
      <c r="K81" s="523"/>
    </row>
    <row r="82" spans="1:16" x14ac:dyDescent="0.25">
      <c r="B82" s="760"/>
      <c r="C82" s="106" t="s">
        <v>566</v>
      </c>
      <c r="D82" s="523"/>
      <c r="E82" s="523"/>
      <c r="F82" s="523"/>
      <c r="G82" s="523"/>
      <c r="H82" s="523"/>
      <c r="I82" s="523"/>
      <c r="J82" s="523"/>
      <c r="K82" s="523"/>
    </row>
    <row r="83" spans="1:16" x14ac:dyDescent="0.25">
      <c r="B83" s="760"/>
      <c r="C83" s="106" t="s">
        <v>565</v>
      </c>
      <c r="D83" s="523"/>
      <c r="E83" s="523"/>
      <c r="F83" s="523"/>
      <c r="G83" s="523"/>
      <c r="H83" s="523"/>
      <c r="I83" s="523"/>
      <c r="J83" s="523"/>
      <c r="K83" s="523"/>
    </row>
    <row r="84" spans="1:16" x14ac:dyDescent="0.25">
      <c r="B84" s="760"/>
      <c r="C84" s="106" t="s">
        <v>567</v>
      </c>
      <c r="D84" s="523"/>
      <c r="E84" s="523"/>
      <c r="F84" s="523"/>
      <c r="G84" s="523"/>
      <c r="H84" s="523"/>
      <c r="I84" s="523"/>
      <c r="J84" s="523"/>
    </row>
    <row r="85" spans="1:16" x14ac:dyDescent="0.25">
      <c r="B85" s="760"/>
      <c r="C85" s="520" t="s">
        <v>568</v>
      </c>
      <c r="D85" s="523"/>
      <c r="E85" s="523"/>
      <c r="F85" s="523"/>
      <c r="G85" s="523"/>
      <c r="H85" s="523"/>
      <c r="I85" s="523"/>
      <c r="J85" s="523"/>
    </row>
    <row r="86" spans="1:16" x14ac:dyDescent="0.25">
      <c r="B86" s="510" t="s">
        <v>574</v>
      </c>
      <c r="C86" s="510"/>
      <c r="D86" s="523"/>
      <c r="E86" s="523"/>
      <c r="F86" s="523"/>
      <c r="G86" s="523"/>
      <c r="H86" s="523"/>
      <c r="I86" s="523"/>
      <c r="J86" s="523"/>
    </row>
    <row r="87" spans="1:16" ht="17.25" x14ac:dyDescent="0.25">
      <c r="B87" s="510" t="s">
        <v>575</v>
      </c>
      <c r="C87" s="510"/>
      <c r="D87" s="523"/>
      <c r="E87" s="523"/>
      <c r="F87" s="523"/>
      <c r="G87" s="523"/>
      <c r="H87" s="523"/>
      <c r="I87" s="523"/>
      <c r="J87" s="523"/>
    </row>
    <row r="88" spans="1:16" ht="17.25" x14ac:dyDescent="0.25">
      <c r="B88" s="510"/>
      <c r="C88" s="510" t="s">
        <v>293</v>
      </c>
      <c r="D88" s="523"/>
      <c r="E88" s="523"/>
      <c r="F88" s="523"/>
      <c r="G88" s="523"/>
      <c r="H88" s="523"/>
      <c r="I88" s="523"/>
      <c r="J88" s="523"/>
    </row>
    <row r="89" spans="1:16" x14ac:dyDescent="0.25">
      <c r="B89" s="510" t="s">
        <v>576</v>
      </c>
      <c r="C89" s="510"/>
      <c r="D89" s="523"/>
      <c r="E89" s="523"/>
      <c r="F89" s="523"/>
      <c r="G89" s="523"/>
      <c r="H89" s="523"/>
      <c r="I89" s="523"/>
      <c r="J89" s="523"/>
    </row>
    <row r="90" spans="1:16" x14ac:dyDescent="0.25">
      <c r="B90" s="510" t="s">
        <v>577</v>
      </c>
      <c r="C90" s="510"/>
      <c r="D90" s="523"/>
      <c r="E90" s="523"/>
      <c r="F90" s="523"/>
      <c r="G90" s="523"/>
      <c r="H90" s="523"/>
      <c r="I90" s="523"/>
      <c r="J90" s="523"/>
    </row>
    <row r="91" spans="1:16" x14ac:dyDescent="0.25">
      <c r="C91" s="522" t="s">
        <v>371</v>
      </c>
      <c r="I91" s="523"/>
    </row>
    <row r="92" spans="1:16" ht="15.75" thickBot="1" x14ac:dyDescent="0.3">
      <c r="I92" s="523"/>
    </row>
    <row r="93" spans="1:16" ht="14.45" customHeight="1" thickBot="1" x14ac:dyDescent="0.3">
      <c r="A93" s="795" t="s">
        <v>499</v>
      </c>
      <c r="B93" s="796"/>
      <c r="C93" s="796"/>
      <c r="D93" s="796"/>
      <c r="E93" s="796"/>
      <c r="F93" s="796"/>
      <c r="G93" s="796"/>
      <c r="H93" s="796"/>
      <c r="I93" s="796"/>
      <c r="J93" s="796"/>
      <c r="K93" s="796"/>
      <c r="L93" s="796"/>
      <c r="M93" s="796"/>
      <c r="N93" s="796"/>
      <c r="O93" s="796"/>
      <c r="P93" s="797"/>
    </row>
    <row r="94" spans="1:16" ht="14.45" customHeight="1" x14ac:dyDescent="0.25">
      <c r="B94" s="509" t="s">
        <v>514</v>
      </c>
      <c r="J94" s="523"/>
    </row>
    <row r="95" spans="1:16" x14ac:dyDescent="0.25">
      <c r="B95" s="504" t="s">
        <v>513</v>
      </c>
    </row>
    <row r="96" spans="1:16" x14ac:dyDescent="0.25">
      <c r="B96" s="504" t="s">
        <v>515</v>
      </c>
      <c r="C96" s="525"/>
    </row>
    <row r="97" spans="1:16" x14ac:dyDescent="0.25">
      <c r="B97" s="504" t="s">
        <v>516</v>
      </c>
      <c r="C97" s="525"/>
      <c r="I97" s="523"/>
    </row>
    <row r="98" spans="1:16" x14ac:dyDescent="0.25">
      <c r="B98" s="504" t="s">
        <v>517</v>
      </c>
      <c r="I98" s="526"/>
      <c r="J98" s="523"/>
    </row>
    <row r="99" spans="1:16" x14ac:dyDescent="0.25">
      <c r="B99" s="504" t="s">
        <v>518</v>
      </c>
      <c r="I99" s="527"/>
      <c r="J99" s="526"/>
      <c r="K99" s="526"/>
      <c r="L99" s="526"/>
    </row>
    <row r="100" spans="1:16" ht="14.45" customHeight="1" thickBot="1" x14ac:dyDescent="0.3">
      <c r="B100" s="525"/>
      <c r="I100" s="527"/>
      <c r="J100" s="526"/>
      <c r="K100" s="526"/>
      <c r="L100" s="526"/>
    </row>
    <row r="101" spans="1:16" ht="15.75" thickBot="1" x14ac:dyDescent="0.3">
      <c r="A101" s="795" t="s">
        <v>587</v>
      </c>
      <c r="B101" s="796"/>
      <c r="C101" s="796"/>
      <c r="D101" s="796"/>
      <c r="E101" s="796"/>
      <c r="F101" s="796"/>
      <c r="G101" s="796"/>
      <c r="H101" s="796"/>
      <c r="I101" s="796"/>
      <c r="J101" s="796"/>
      <c r="K101" s="796"/>
      <c r="L101" s="796"/>
      <c r="M101" s="796"/>
      <c r="N101" s="796"/>
      <c r="O101" s="796"/>
      <c r="P101" s="797"/>
    </row>
    <row r="102" spans="1:16" x14ac:dyDescent="0.25">
      <c r="A102" s="509" t="s">
        <v>600</v>
      </c>
      <c r="K102" s="527"/>
      <c r="L102" s="527"/>
    </row>
    <row r="103" spans="1:16" x14ac:dyDescent="0.25">
      <c r="B103" s="504" t="s">
        <v>519</v>
      </c>
      <c r="K103" s="527"/>
      <c r="L103" s="527"/>
    </row>
    <row r="104" spans="1:16" x14ac:dyDescent="0.25">
      <c r="B104" s="504" t="s">
        <v>522</v>
      </c>
    </row>
    <row r="105" spans="1:16" x14ac:dyDescent="0.25">
      <c r="C105" s="504" t="s">
        <v>520</v>
      </c>
    </row>
    <row r="106" spans="1:16" x14ac:dyDescent="0.25">
      <c r="C106" s="509" t="s">
        <v>521</v>
      </c>
    </row>
    <row r="107" spans="1:16" ht="14.65" customHeight="1" x14ac:dyDescent="0.25">
      <c r="B107" s="504" t="s">
        <v>563</v>
      </c>
    </row>
    <row r="108" spans="1:16" x14ac:dyDescent="0.25">
      <c r="B108" s="504" t="s">
        <v>549</v>
      </c>
      <c r="I108" s="523"/>
      <c r="J108" s="527"/>
    </row>
    <row r="109" spans="1:16" x14ac:dyDescent="0.25">
      <c r="C109" s="504" t="s">
        <v>548</v>
      </c>
      <c r="J109" s="523"/>
    </row>
    <row r="110" spans="1:16" x14ac:dyDescent="0.25">
      <c r="C110" s="504" t="s">
        <v>523</v>
      </c>
      <c r="E110" s="525"/>
    </row>
    <row r="111" spans="1:16" x14ac:dyDescent="0.25">
      <c r="B111" s="504" t="s">
        <v>524</v>
      </c>
      <c r="E111" s="525"/>
    </row>
    <row r="112" spans="1:16" x14ac:dyDescent="0.25">
      <c r="C112" s="504" t="s">
        <v>598</v>
      </c>
    </row>
    <row r="113" spans="1:16" x14ac:dyDescent="0.25">
      <c r="C113" s="504" t="s">
        <v>525</v>
      </c>
    </row>
    <row r="114" spans="1:16" x14ac:dyDescent="0.25">
      <c r="C114" s="509" t="s">
        <v>589</v>
      </c>
    </row>
    <row r="115" spans="1:16" x14ac:dyDescent="0.25">
      <c r="C115" s="517" t="s">
        <v>559</v>
      </c>
    </row>
    <row r="116" spans="1:16" x14ac:dyDescent="0.25">
      <c r="C116" s="517" t="s">
        <v>560</v>
      </c>
    </row>
    <row r="117" spans="1:16" x14ac:dyDescent="0.25">
      <c r="C117" s="517" t="s">
        <v>561</v>
      </c>
    </row>
    <row r="118" spans="1:16" x14ac:dyDescent="0.25">
      <c r="C118" s="517" t="s">
        <v>562</v>
      </c>
    </row>
    <row r="119" spans="1:16" x14ac:dyDescent="0.25">
      <c r="B119" s="504" t="s">
        <v>534</v>
      </c>
    </row>
    <row r="120" spans="1:16" x14ac:dyDescent="0.25">
      <c r="B120" s="504" t="s">
        <v>535</v>
      </c>
    </row>
    <row r="121" spans="1:16" x14ac:dyDescent="0.25">
      <c r="B121" s="504" t="s">
        <v>526</v>
      </c>
    </row>
    <row r="122" spans="1:16" ht="15.75" thickBot="1" x14ac:dyDescent="0.3"/>
    <row r="123" spans="1:16" ht="15.75" thickBot="1" x14ac:dyDescent="0.3">
      <c r="A123" s="798" t="s">
        <v>164</v>
      </c>
      <c r="B123" s="799"/>
      <c r="C123" s="799"/>
      <c r="D123" s="799"/>
      <c r="E123" s="799"/>
      <c r="F123" s="799"/>
      <c r="G123" s="799"/>
      <c r="H123" s="799"/>
      <c r="I123" s="799"/>
      <c r="J123" s="799"/>
      <c r="K123" s="799"/>
      <c r="L123" s="799"/>
      <c r="M123" s="799"/>
      <c r="N123" s="799"/>
      <c r="O123" s="799"/>
      <c r="P123" s="800"/>
    </row>
    <row r="124" spans="1:16" x14ac:dyDescent="0.25">
      <c r="B124" s="504" t="s">
        <v>165</v>
      </c>
    </row>
    <row r="125" spans="1:16" x14ac:dyDescent="0.25">
      <c r="B125" s="509" t="s">
        <v>223</v>
      </c>
    </row>
    <row r="126" spans="1:16" x14ac:dyDescent="0.25">
      <c r="B126" s="509" t="s">
        <v>527</v>
      </c>
    </row>
    <row r="128" spans="1:16" x14ac:dyDescent="0.25">
      <c r="C128" s="581"/>
      <c r="D128" s="581"/>
      <c r="E128" s="581"/>
    </row>
    <row r="129" spans="3:5" x14ac:dyDescent="0.25">
      <c r="C129" s="581"/>
      <c r="D129" s="581"/>
      <c r="E129" s="581"/>
    </row>
    <row r="130" spans="3:5" x14ac:dyDescent="0.25">
      <c r="C130" s="581"/>
      <c r="D130" s="581"/>
      <c r="E130" s="581"/>
    </row>
    <row r="131" spans="3:5" x14ac:dyDescent="0.25">
      <c r="C131" s="581"/>
      <c r="D131" s="581"/>
      <c r="E131" s="581"/>
    </row>
    <row r="132" spans="3:5" x14ac:dyDescent="0.25">
      <c r="C132" s="581"/>
      <c r="D132" s="581"/>
      <c r="E132" s="581"/>
    </row>
    <row r="133" spans="3:5" x14ac:dyDescent="0.25">
      <c r="C133" s="581"/>
      <c r="D133" s="581"/>
      <c r="E133" s="581"/>
    </row>
    <row r="134" spans="3:5" x14ac:dyDescent="0.25">
      <c r="C134" s="581"/>
      <c r="D134" s="581"/>
      <c r="E134" s="581"/>
    </row>
    <row r="135" spans="3:5" x14ac:dyDescent="0.25">
      <c r="C135" s="581"/>
      <c r="D135" s="581"/>
      <c r="E135" s="581"/>
    </row>
    <row r="136" spans="3:5" x14ac:dyDescent="0.25">
      <c r="C136" s="581"/>
      <c r="D136" s="581"/>
      <c r="E136" s="581"/>
    </row>
    <row r="137" spans="3:5" x14ac:dyDescent="0.25">
      <c r="C137" s="581"/>
      <c r="D137" s="581"/>
      <c r="E137" s="581"/>
    </row>
    <row r="138" spans="3:5" x14ac:dyDescent="0.25">
      <c r="C138" s="581"/>
      <c r="D138" s="581"/>
      <c r="E138" s="581"/>
    </row>
  </sheetData>
  <sheetProtection algorithmName="SHA-512" hashValue="OzF5w/eXSU/JrlD1elBqEWnSYhjb5xFAJpPgAtPk2oiLsJJ69KXWhBuPPGmfhribzjrEk8YCRMh8t/U7s+l6XA==" saltValue="FA2IlihSBEXGup/WT3WpYA==" spinCount="100000" sheet="1" objects="1" scenarios="1"/>
  <mergeCells count="25">
    <mergeCell ref="B5:L5"/>
    <mergeCell ref="B6:L6"/>
    <mergeCell ref="B7:L7"/>
    <mergeCell ref="B8:L8"/>
    <mergeCell ref="B22:D22"/>
    <mergeCell ref="B20:F20"/>
    <mergeCell ref="I1:L1"/>
    <mergeCell ref="A1:H1"/>
    <mergeCell ref="A2:L2"/>
    <mergeCell ref="A3:L3"/>
    <mergeCell ref="B4:L4"/>
    <mergeCell ref="N8:O8"/>
    <mergeCell ref="A66:H66"/>
    <mergeCell ref="I66:L66"/>
    <mergeCell ref="A67:L67"/>
    <mergeCell ref="A68:P68"/>
    <mergeCell ref="A26:P26"/>
    <mergeCell ref="A25:P25"/>
    <mergeCell ref="A10:P10"/>
    <mergeCell ref="B23:D23"/>
    <mergeCell ref="A93:P93"/>
    <mergeCell ref="A101:P101"/>
    <mergeCell ref="A47:P47"/>
    <mergeCell ref="A41:P41"/>
    <mergeCell ref="A123:P123"/>
  </mergeCells>
  <pageMargins left="0.7" right="0.7" top="0.75" bottom="0.75" header="0.3" footer="0.3"/>
  <pageSetup scale="61" orientation="portrait" r:id="rId1"/>
  <headerFooter>
    <oddFooter>&amp;L&amp;9&amp;A&amp;C&amp;9&amp;P of &amp;N&amp;R&amp;9&amp;F</oddFooter>
  </headerFooter>
  <rowBreaks count="2" manualBreakCount="2">
    <brk id="65" max="15" man="1"/>
    <brk id="142" max="1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5AC4F-BC74-4B2C-A920-8CAB69128438}">
  <dimension ref="A1:Q94"/>
  <sheetViews>
    <sheetView showGridLines="0" zoomScaleNormal="100" zoomScaleSheetLayoutView="110" zoomScalePageLayoutView="90" workbookViewId="0">
      <selection activeCell="A3" sqref="A3"/>
    </sheetView>
  </sheetViews>
  <sheetFormatPr defaultColWidth="8.85546875" defaultRowHeight="15" x14ac:dyDescent="0.25"/>
  <cols>
    <col min="1" max="1" width="3.42578125" style="681" customWidth="1"/>
    <col min="2" max="11" width="8.85546875" style="681"/>
    <col min="12" max="12" width="13" style="681" customWidth="1"/>
    <col min="13" max="26" width="8.85546875" style="681"/>
    <col min="27" max="27" width="5.7109375" style="681" customWidth="1"/>
    <col min="28" max="16384" width="8.85546875" style="681"/>
  </cols>
  <sheetData>
    <row r="1" spans="1:16" ht="16.5" thickBot="1" x14ac:dyDescent="0.3">
      <c r="A1" s="833" t="s">
        <v>364</v>
      </c>
      <c r="B1" s="834"/>
      <c r="C1" s="834"/>
      <c r="D1" s="834"/>
      <c r="E1" s="834"/>
      <c r="F1" s="834"/>
      <c r="G1" s="834"/>
      <c r="H1" s="834"/>
      <c r="I1" s="835" t="s">
        <v>365</v>
      </c>
      <c r="J1" s="835"/>
      <c r="K1" s="835"/>
      <c r="L1" s="836"/>
    </row>
    <row r="2" spans="1:16" x14ac:dyDescent="0.25">
      <c r="A2" s="837" t="str">
        <f>Directions!A2</f>
        <v>DT2221     08/2022</v>
      </c>
      <c r="B2" s="837"/>
      <c r="C2" s="837"/>
      <c r="D2" s="837"/>
      <c r="E2" s="837"/>
      <c r="F2" s="837"/>
      <c r="G2" s="837"/>
      <c r="H2" s="837"/>
      <c r="I2" s="837"/>
      <c r="J2" s="837"/>
      <c r="K2" s="837"/>
      <c r="L2" s="837"/>
    </row>
    <row r="3" spans="1:16" ht="15.75" thickBot="1" x14ac:dyDescent="0.3">
      <c r="A3" s="682"/>
      <c r="B3" s="682"/>
      <c r="C3" s="682"/>
      <c r="D3" s="682"/>
      <c r="E3" s="682"/>
      <c r="F3" s="682"/>
      <c r="G3" s="682"/>
      <c r="H3" s="682"/>
      <c r="I3" s="682"/>
      <c r="J3" s="682"/>
      <c r="K3" s="682"/>
      <c r="L3" s="682"/>
    </row>
    <row r="4" spans="1:16" ht="15.75" thickBot="1" x14ac:dyDescent="0.3">
      <c r="A4" s="838" t="s">
        <v>462</v>
      </c>
      <c r="B4" s="839"/>
      <c r="C4" s="839"/>
      <c r="D4" s="839"/>
      <c r="E4" s="839"/>
      <c r="F4" s="839"/>
      <c r="G4" s="839"/>
      <c r="H4" s="839"/>
      <c r="I4" s="839"/>
      <c r="J4" s="839"/>
      <c r="K4" s="839"/>
      <c r="L4" s="840"/>
    </row>
    <row r="5" spans="1:16" x14ac:dyDescent="0.25">
      <c r="A5" s="683"/>
      <c r="B5" s="684"/>
      <c r="C5" s="684"/>
      <c r="D5" s="684"/>
      <c r="E5" s="684"/>
      <c r="F5" s="684"/>
      <c r="G5" s="684"/>
      <c r="H5" s="684"/>
      <c r="I5" s="684"/>
      <c r="J5" s="684"/>
      <c r="K5" s="684"/>
      <c r="L5" s="684"/>
    </row>
    <row r="6" spans="1:16" x14ac:dyDescent="0.25">
      <c r="A6" s="681" t="s">
        <v>463</v>
      </c>
      <c r="C6" s="684"/>
      <c r="D6" s="684"/>
      <c r="E6" s="684"/>
      <c r="F6" s="684"/>
      <c r="G6" s="684"/>
      <c r="H6" s="684"/>
      <c r="I6" s="684"/>
      <c r="J6" s="684"/>
      <c r="K6" s="684"/>
      <c r="L6" s="684"/>
    </row>
    <row r="7" spans="1:16" x14ac:dyDescent="0.25">
      <c r="D7" s="684"/>
      <c r="E7" s="684"/>
      <c r="F7" s="684"/>
      <c r="G7" s="684"/>
      <c r="H7" s="684"/>
      <c r="I7" s="684"/>
      <c r="J7" s="684"/>
      <c r="K7" s="684"/>
      <c r="L7" s="684"/>
    </row>
    <row r="8" spans="1:16" x14ac:dyDescent="0.25">
      <c r="A8" s="685" t="s">
        <v>461</v>
      </c>
      <c r="C8" s="684"/>
      <c r="D8" s="684"/>
      <c r="E8" s="684"/>
      <c r="F8" s="684"/>
      <c r="G8" s="684"/>
      <c r="H8" s="684"/>
      <c r="I8" s="684"/>
      <c r="J8" s="684"/>
      <c r="K8" s="684"/>
      <c r="L8" s="684"/>
    </row>
    <row r="9" spans="1:16" x14ac:dyDescent="0.25">
      <c r="A9" s="681" t="s">
        <v>460</v>
      </c>
      <c r="N9" s="801" t="str">
        <f>Directions!N8</f>
        <v>Version 2.1</v>
      </c>
      <c r="O9" s="801"/>
    </row>
    <row r="10" spans="1:16" ht="15" customHeight="1" thickBot="1" x14ac:dyDescent="0.3"/>
    <row r="11" spans="1:16" ht="15" customHeight="1" thickBot="1" x14ac:dyDescent="0.3">
      <c r="A11" s="838" t="s">
        <v>468</v>
      </c>
      <c r="B11" s="839"/>
      <c r="C11" s="839"/>
      <c r="D11" s="839"/>
      <c r="E11" s="839"/>
      <c r="F11" s="839"/>
      <c r="G11" s="839"/>
      <c r="H11" s="839"/>
      <c r="I11" s="839"/>
      <c r="J11" s="839"/>
      <c r="K11" s="839"/>
      <c r="L11" s="839"/>
      <c r="M11" s="839"/>
      <c r="N11" s="839"/>
      <c r="O11" s="839"/>
      <c r="P11" s="840"/>
    </row>
    <row r="12" spans="1:16" ht="14.65" customHeight="1" thickBot="1" x14ac:dyDescent="0.3">
      <c r="A12" s="841" t="s">
        <v>492</v>
      </c>
      <c r="B12" s="842"/>
      <c r="C12" s="842"/>
      <c r="D12" s="842"/>
      <c r="E12" s="842"/>
      <c r="F12" s="842"/>
      <c r="G12" s="842"/>
      <c r="H12" s="842"/>
      <c r="I12" s="842"/>
      <c r="J12" s="842"/>
      <c r="K12" s="842"/>
      <c r="L12" s="842"/>
      <c r="M12" s="842"/>
      <c r="N12" s="842"/>
      <c r="O12" s="842"/>
      <c r="P12" s="843"/>
    </row>
    <row r="13" spans="1:16" ht="14.65" customHeight="1" x14ac:dyDescent="0.25">
      <c r="A13" s="686" t="s">
        <v>332</v>
      </c>
      <c r="B13" s="685"/>
      <c r="M13" s="686"/>
      <c r="N13" s="686"/>
      <c r="O13" s="686"/>
      <c r="P13" s="686"/>
    </row>
    <row r="14" spans="1:16" ht="14.65" customHeight="1" x14ac:dyDescent="0.25">
      <c r="A14" s="686" t="s">
        <v>373</v>
      </c>
      <c r="B14" s="685"/>
      <c r="M14" s="686"/>
      <c r="N14" s="686"/>
      <c r="O14" s="686"/>
      <c r="P14" s="686"/>
    </row>
    <row r="15" spans="1:16" ht="14.65" customHeight="1" x14ac:dyDescent="0.25">
      <c r="A15" s="685" t="s">
        <v>334</v>
      </c>
      <c r="B15" s="685"/>
      <c r="M15" s="686"/>
      <c r="N15" s="686"/>
      <c r="O15" s="686"/>
      <c r="P15" s="686"/>
    </row>
    <row r="16" spans="1:16" ht="14.65" customHeight="1" x14ac:dyDescent="0.25">
      <c r="A16" s="686" t="s">
        <v>459</v>
      </c>
      <c r="B16" s="686"/>
      <c r="C16" s="686"/>
      <c r="D16" s="686"/>
      <c r="E16" s="686"/>
      <c r="F16" s="686"/>
      <c r="G16" s="686"/>
      <c r="H16" s="686"/>
      <c r="I16" s="686"/>
      <c r="J16" s="686"/>
      <c r="M16" s="686"/>
      <c r="N16" s="686"/>
      <c r="O16" s="686"/>
      <c r="P16" s="686"/>
    </row>
    <row r="17" spans="1:16" ht="14.65" customHeight="1" x14ac:dyDescent="0.25">
      <c r="A17" s="685" t="s">
        <v>467</v>
      </c>
      <c r="C17" s="686"/>
      <c r="D17" s="686"/>
      <c r="E17" s="686"/>
      <c r="F17" s="686"/>
      <c r="G17" s="686"/>
      <c r="H17" s="686"/>
      <c r="I17" s="686"/>
      <c r="J17" s="686"/>
      <c r="M17" s="686"/>
      <c r="N17" s="686"/>
      <c r="O17" s="686"/>
      <c r="P17" s="686"/>
    </row>
    <row r="18" spans="1:16" ht="14.65" customHeight="1" thickBot="1" x14ac:dyDescent="0.3">
      <c r="A18" s="683"/>
      <c r="C18" s="686"/>
      <c r="D18" s="686"/>
      <c r="E18" s="686"/>
      <c r="F18" s="686"/>
      <c r="G18" s="686"/>
      <c r="H18" s="686"/>
      <c r="I18" s="686"/>
      <c r="J18" s="686"/>
      <c r="M18" s="686"/>
      <c r="N18" s="686"/>
      <c r="O18" s="686"/>
      <c r="P18" s="686"/>
    </row>
    <row r="19" spans="1:16" ht="14.45" customHeight="1" thickBot="1" x14ac:dyDescent="0.3">
      <c r="A19" s="844" t="s">
        <v>475</v>
      </c>
      <c r="B19" s="845"/>
      <c r="C19" s="845"/>
      <c r="D19" s="845"/>
      <c r="E19" s="845"/>
      <c r="F19" s="845"/>
      <c r="G19" s="845"/>
      <c r="H19" s="845"/>
      <c r="I19" s="845"/>
      <c r="J19" s="845"/>
      <c r="K19" s="845"/>
      <c r="L19" s="845"/>
      <c r="M19" s="845"/>
      <c r="N19" s="845"/>
      <c r="O19" s="845"/>
      <c r="P19" s="846"/>
    </row>
    <row r="20" spans="1:16" x14ac:dyDescent="0.25">
      <c r="A20" s="685" t="s">
        <v>465</v>
      </c>
      <c r="B20" s="448"/>
      <c r="M20" s="686"/>
      <c r="N20" s="686"/>
      <c r="O20" s="686"/>
      <c r="P20" s="686"/>
    </row>
    <row r="21" spans="1:16" x14ac:dyDescent="0.25">
      <c r="A21" s="685" t="s">
        <v>466</v>
      </c>
      <c r="B21" s="448"/>
    </row>
    <row r="22" spans="1:16" x14ac:dyDescent="0.25">
      <c r="A22" s="685" t="s">
        <v>464</v>
      </c>
      <c r="B22" s="448"/>
    </row>
    <row r="23" spans="1:16" x14ac:dyDescent="0.25">
      <c r="A23" s="685" t="s">
        <v>164</v>
      </c>
      <c r="B23" s="448"/>
    </row>
    <row r="24" spans="1:16" x14ac:dyDescent="0.25">
      <c r="A24" s="685" t="s">
        <v>481</v>
      </c>
      <c r="B24" s="687"/>
      <c r="D24" s="683"/>
      <c r="E24" s="683"/>
    </row>
    <row r="25" spans="1:16" ht="14.65" customHeight="1" x14ac:dyDescent="0.25">
      <c r="A25" s="685" t="s">
        <v>482</v>
      </c>
      <c r="J25" s="689"/>
    </row>
    <row r="26" spans="1:16" ht="14.65" customHeight="1" thickBot="1" x14ac:dyDescent="0.3"/>
    <row r="27" spans="1:16" ht="14.65" customHeight="1" thickBot="1" x14ac:dyDescent="0.3">
      <c r="A27" s="838" t="s">
        <v>479</v>
      </c>
      <c r="B27" s="839"/>
      <c r="C27" s="839"/>
      <c r="D27" s="839"/>
      <c r="E27" s="839"/>
      <c r="F27" s="839"/>
      <c r="G27" s="839"/>
      <c r="H27" s="839"/>
      <c r="I27" s="839"/>
      <c r="J27" s="839"/>
      <c r="K27" s="839"/>
      <c r="L27" s="839"/>
      <c r="M27" s="839"/>
      <c r="N27" s="839"/>
      <c r="O27" s="839"/>
      <c r="P27" s="840"/>
    </row>
    <row r="28" spans="1:16" x14ac:dyDescent="0.25">
      <c r="A28" s="681" t="s">
        <v>494</v>
      </c>
    </row>
    <row r="29" spans="1:16" x14ac:dyDescent="0.25">
      <c r="A29" s="681" t="s">
        <v>469</v>
      </c>
      <c r="J29" s="689"/>
    </row>
    <row r="30" spans="1:16" ht="14.65" customHeight="1" x14ac:dyDescent="0.25">
      <c r="A30" s="681" t="s">
        <v>470</v>
      </c>
    </row>
    <row r="31" spans="1:16" ht="14.65" customHeight="1" x14ac:dyDescent="0.25">
      <c r="A31" s="681" t="s">
        <v>471</v>
      </c>
      <c r="C31" s="685"/>
    </row>
    <row r="32" spans="1:16" ht="14.65" customHeight="1" x14ac:dyDescent="0.25">
      <c r="A32" s="690"/>
      <c r="B32" s="690" t="s">
        <v>373</v>
      </c>
      <c r="C32" s="685"/>
    </row>
    <row r="33" spans="1:17" ht="14.65" customHeight="1" x14ac:dyDescent="0.25">
      <c r="B33" s="690" t="s">
        <v>334</v>
      </c>
      <c r="C33" s="690"/>
      <c r="D33" s="690"/>
      <c r="E33" s="690"/>
      <c r="F33" s="690"/>
      <c r="G33" s="690"/>
      <c r="H33" s="690"/>
      <c r="I33" s="690"/>
      <c r="J33" s="690"/>
      <c r="K33" s="690"/>
    </row>
    <row r="34" spans="1:17" ht="14.65" customHeight="1" x14ac:dyDescent="0.25">
      <c r="B34" s="690" t="s">
        <v>459</v>
      </c>
      <c r="C34" s="683"/>
      <c r="D34" s="683"/>
      <c r="E34" s="683"/>
      <c r="F34" s="683"/>
      <c r="G34" s="683"/>
      <c r="H34" s="683"/>
      <c r="I34" s="683"/>
    </row>
    <row r="35" spans="1:17" ht="14.65" customHeight="1" x14ac:dyDescent="0.25">
      <c r="B35" s="690" t="s">
        <v>467</v>
      </c>
      <c r="C35" s="683"/>
      <c r="D35" s="683"/>
      <c r="E35" s="683"/>
      <c r="F35" s="683"/>
      <c r="G35" s="683"/>
      <c r="H35" s="683"/>
      <c r="I35" s="683"/>
    </row>
    <row r="36" spans="1:17" ht="14.65" customHeight="1" x14ac:dyDescent="0.25">
      <c r="B36" s="684" t="s">
        <v>472</v>
      </c>
      <c r="C36" s="683"/>
      <c r="D36" s="683"/>
      <c r="E36" s="683"/>
      <c r="F36" s="683"/>
      <c r="G36" s="683"/>
      <c r="H36" s="683"/>
    </row>
    <row r="37" spans="1:17" x14ac:dyDescent="0.25">
      <c r="A37" s="681" t="s">
        <v>489</v>
      </c>
      <c r="C37" s="683"/>
      <c r="D37" s="683"/>
      <c r="E37" s="683"/>
      <c r="F37" s="688"/>
      <c r="G37" s="688"/>
      <c r="H37" s="688"/>
      <c r="I37" s="688"/>
      <c r="J37" s="688"/>
      <c r="K37" s="688"/>
    </row>
    <row r="38" spans="1:17" x14ac:dyDescent="0.25">
      <c r="A38" s="683" t="s">
        <v>488</v>
      </c>
    </row>
    <row r="39" spans="1:17" ht="14.65" customHeight="1" x14ac:dyDescent="0.25">
      <c r="B39" s="683" t="s">
        <v>473</v>
      </c>
    </row>
    <row r="40" spans="1:17" ht="14.65" customHeight="1" x14ac:dyDescent="0.25">
      <c r="A40" s="681" t="s">
        <v>474</v>
      </c>
      <c r="B40" s="683"/>
    </row>
    <row r="41" spans="1:17" ht="14.65" customHeight="1" thickBot="1" x14ac:dyDescent="0.3">
      <c r="B41" s="683" t="s">
        <v>493</v>
      </c>
      <c r="E41" s="683"/>
      <c r="F41" s="683"/>
      <c r="G41" s="683"/>
      <c r="H41" s="683"/>
      <c r="I41" s="683"/>
      <c r="J41" s="683"/>
      <c r="K41" s="683"/>
      <c r="L41" s="683"/>
    </row>
    <row r="42" spans="1:17" ht="15.75" thickBot="1" x14ac:dyDescent="0.3">
      <c r="A42" s="838" t="s">
        <v>480</v>
      </c>
      <c r="B42" s="839"/>
      <c r="C42" s="839"/>
      <c r="D42" s="839"/>
      <c r="E42" s="839"/>
      <c r="F42" s="839"/>
      <c r="G42" s="839"/>
      <c r="H42" s="839"/>
      <c r="I42" s="839"/>
      <c r="J42" s="839"/>
      <c r="K42" s="839"/>
      <c r="L42" s="839"/>
      <c r="M42" s="839"/>
      <c r="N42" s="839"/>
      <c r="O42" s="839"/>
      <c r="P42" s="840"/>
    </row>
    <row r="43" spans="1:17" ht="14.65" customHeight="1" x14ac:dyDescent="0.25">
      <c r="A43" s="681" t="s">
        <v>494</v>
      </c>
      <c r="B43" s="683"/>
      <c r="Q43" s="683" t="s">
        <v>2</v>
      </c>
    </row>
    <row r="44" spans="1:17" ht="14.65" customHeight="1" x14ac:dyDescent="0.25">
      <c r="A44" s="681" t="s">
        <v>469</v>
      </c>
      <c r="B44" s="683"/>
      <c r="C44" s="691"/>
      <c r="I44" s="683"/>
      <c r="Q44" s="683"/>
    </row>
    <row r="45" spans="1:17" ht="14.65" customHeight="1" x14ac:dyDescent="0.25">
      <c r="A45" s="681" t="s">
        <v>470</v>
      </c>
      <c r="B45" s="683"/>
      <c r="I45" s="689"/>
      <c r="J45" s="683"/>
      <c r="Q45" s="683"/>
    </row>
    <row r="46" spans="1:17" ht="14.65" customHeight="1" x14ac:dyDescent="0.25">
      <c r="A46" s="681" t="s">
        <v>471</v>
      </c>
      <c r="B46" s="683"/>
      <c r="I46" s="689"/>
      <c r="J46" s="683"/>
      <c r="Q46" s="683"/>
    </row>
    <row r="47" spans="1:17" ht="14.65" customHeight="1" x14ac:dyDescent="0.25">
      <c r="A47" s="690"/>
      <c r="B47" s="690" t="s">
        <v>373</v>
      </c>
      <c r="I47" s="689"/>
      <c r="J47" s="683"/>
      <c r="Q47" s="683"/>
    </row>
    <row r="48" spans="1:17" ht="14.65" customHeight="1" x14ac:dyDescent="0.25">
      <c r="B48" s="690" t="s">
        <v>334</v>
      </c>
      <c r="I48" s="689"/>
      <c r="J48" s="683"/>
      <c r="Q48" s="683"/>
    </row>
    <row r="49" spans="1:12" x14ac:dyDescent="0.25">
      <c r="B49" s="690" t="s">
        <v>459</v>
      </c>
      <c r="C49" s="687"/>
      <c r="K49" s="692"/>
    </row>
    <row r="50" spans="1:12" x14ac:dyDescent="0.25">
      <c r="B50" s="690" t="s">
        <v>467</v>
      </c>
      <c r="C50" s="683"/>
      <c r="D50" s="683"/>
      <c r="K50" s="692"/>
    </row>
    <row r="51" spans="1:12" x14ac:dyDescent="0.25">
      <c r="A51" s="681" t="s">
        <v>487</v>
      </c>
      <c r="B51" s="683"/>
    </row>
    <row r="52" spans="1:12" ht="14.65" customHeight="1" x14ac:dyDescent="0.25">
      <c r="A52" s="683" t="s">
        <v>490</v>
      </c>
      <c r="C52" s="683"/>
      <c r="D52" s="683"/>
    </row>
    <row r="53" spans="1:12" x14ac:dyDescent="0.25">
      <c r="A53" s="681" t="s">
        <v>491</v>
      </c>
    </row>
    <row r="55" spans="1:12" x14ac:dyDescent="0.25">
      <c r="A55" s="685" t="s">
        <v>536</v>
      </c>
      <c r="C55" s="691"/>
    </row>
    <row r="56" spans="1:12" ht="14.45" customHeight="1" x14ac:dyDescent="0.25">
      <c r="A56" s="685" t="s">
        <v>537</v>
      </c>
      <c r="C56" s="691"/>
      <c r="K56" s="683"/>
    </row>
    <row r="57" spans="1:12" ht="15.75" x14ac:dyDescent="0.25">
      <c r="A57" s="727"/>
      <c r="B57" s="727"/>
      <c r="C57" s="727"/>
      <c r="D57" s="727"/>
      <c r="E57" s="727"/>
      <c r="F57" s="727"/>
      <c r="G57" s="727"/>
      <c r="H57" s="727"/>
      <c r="I57" s="728"/>
      <c r="J57" s="728"/>
      <c r="K57" s="728"/>
      <c r="L57" s="728"/>
    </row>
    <row r="58" spans="1:12" x14ac:dyDescent="0.25">
      <c r="A58" s="726"/>
      <c r="B58" s="726"/>
      <c r="C58" s="726"/>
      <c r="D58" s="726"/>
      <c r="E58" s="726"/>
      <c r="F58" s="726"/>
      <c r="G58" s="726"/>
      <c r="H58" s="726"/>
      <c r="I58" s="726"/>
      <c r="J58" s="726"/>
      <c r="K58" s="726"/>
      <c r="L58" s="726"/>
    </row>
    <row r="59" spans="1:12" x14ac:dyDescent="0.25">
      <c r="A59" s="692"/>
      <c r="B59" s="692"/>
      <c r="C59" s="692"/>
      <c r="D59" s="692"/>
      <c r="E59" s="692"/>
      <c r="F59" s="692"/>
      <c r="G59" s="692"/>
      <c r="H59" s="692"/>
      <c r="I59" s="692"/>
      <c r="J59" s="692"/>
      <c r="K59" s="693"/>
    </row>
    <row r="60" spans="1:12" x14ac:dyDescent="0.25">
      <c r="A60" s="692"/>
      <c r="B60" s="685"/>
      <c r="C60" s="692"/>
      <c r="D60" s="692"/>
      <c r="E60" s="692"/>
      <c r="F60" s="692"/>
      <c r="G60" s="692"/>
      <c r="H60" s="692"/>
      <c r="I60" s="692"/>
      <c r="J60" s="692"/>
      <c r="K60" s="693"/>
    </row>
    <row r="61" spans="1:12" x14ac:dyDescent="0.25">
      <c r="A61" s="692"/>
      <c r="B61" s="683"/>
      <c r="C61" s="683"/>
      <c r="D61" s="683"/>
      <c r="E61" s="683"/>
      <c r="F61" s="683"/>
      <c r="G61" s="683"/>
      <c r="H61" s="683"/>
      <c r="I61" s="683"/>
      <c r="J61" s="683"/>
      <c r="K61" s="693"/>
    </row>
    <row r="62" spans="1:12" x14ac:dyDescent="0.25">
      <c r="B62" s="683"/>
      <c r="K62" s="693"/>
    </row>
    <row r="63" spans="1:12" x14ac:dyDescent="0.25">
      <c r="B63" s="683"/>
      <c r="K63" s="693"/>
    </row>
    <row r="64" spans="1:12" x14ac:dyDescent="0.25">
      <c r="B64" s="683"/>
      <c r="K64" s="693"/>
    </row>
    <row r="65" spans="1:11" x14ac:dyDescent="0.25">
      <c r="A65" s="692"/>
      <c r="D65" s="729"/>
      <c r="E65" s="730"/>
      <c r="F65" s="729"/>
      <c r="G65" s="730"/>
      <c r="H65" s="729"/>
      <c r="I65" s="730"/>
      <c r="K65" s="693"/>
    </row>
    <row r="66" spans="1:11" x14ac:dyDescent="0.25">
      <c r="B66" s="683"/>
      <c r="K66" s="693"/>
    </row>
    <row r="67" spans="1:11" x14ac:dyDescent="0.25">
      <c r="B67" s="693"/>
      <c r="C67" s="683"/>
      <c r="D67" s="693"/>
      <c r="E67" s="693"/>
      <c r="F67" s="693"/>
      <c r="G67" s="693"/>
      <c r="H67" s="693"/>
      <c r="I67" s="693"/>
      <c r="J67" s="693"/>
      <c r="K67" s="693"/>
    </row>
    <row r="68" spans="1:11" x14ac:dyDescent="0.25">
      <c r="B68" s="693"/>
      <c r="C68" s="683"/>
      <c r="D68" s="693"/>
      <c r="E68" s="693"/>
      <c r="F68" s="693"/>
      <c r="G68" s="693"/>
      <c r="H68" s="693"/>
      <c r="I68" s="693"/>
      <c r="J68" s="693"/>
    </row>
    <row r="69" spans="1:11" x14ac:dyDescent="0.25">
      <c r="B69" s="693"/>
      <c r="C69" s="683"/>
      <c r="D69" s="693"/>
      <c r="E69" s="693"/>
      <c r="F69" s="693"/>
      <c r="G69" s="693"/>
      <c r="H69" s="693"/>
      <c r="I69" s="693"/>
      <c r="J69" s="693"/>
    </row>
    <row r="70" spans="1:11" x14ac:dyDescent="0.25">
      <c r="B70" s="683"/>
      <c r="C70" s="683"/>
      <c r="D70" s="693"/>
      <c r="E70" s="693"/>
      <c r="F70" s="693"/>
      <c r="G70" s="693"/>
      <c r="H70" s="693"/>
      <c r="I70" s="693"/>
      <c r="J70" s="693"/>
    </row>
    <row r="71" spans="1:11" x14ac:dyDescent="0.25">
      <c r="B71" s="683"/>
      <c r="C71" s="683"/>
      <c r="D71" s="693"/>
      <c r="E71" s="693"/>
      <c r="F71" s="693"/>
      <c r="G71" s="693"/>
      <c r="H71" s="693"/>
      <c r="I71" s="693"/>
      <c r="J71" s="693"/>
    </row>
    <row r="72" spans="1:11" x14ac:dyDescent="0.25">
      <c r="B72" s="683"/>
      <c r="C72" s="683"/>
      <c r="D72" s="693"/>
      <c r="E72" s="693"/>
      <c r="F72" s="693"/>
      <c r="G72" s="693"/>
      <c r="H72" s="693"/>
      <c r="I72" s="693"/>
      <c r="J72" s="693"/>
    </row>
    <row r="73" spans="1:11" x14ac:dyDescent="0.25">
      <c r="B73" s="683"/>
      <c r="C73" s="683"/>
      <c r="D73" s="693"/>
      <c r="E73" s="693"/>
      <c r="F73" s="693"/>
      <c r="G73" s="693"/>
      <c r="H73" s="693"/>
      <c r="I73" s="693"/>
      <c r="J73" s="693"/>
    </row>
    <row r="74" spans="1:11" x14ac:dyDescent="0.25">
      <c r="B74" s="683"/>
      <c r="C74" s="683"/>
      <c r="D74" s="693"/>
      <c r="E74" s="693"/>
      <c r="F74" s="693"/>
      <c r="G74" s="693"/>
      <c r="H74" s="693"/>
      <c r="I74" s="693"/>
      <c r="J74" s="693"/>
    </row>
    <row r="75" spans="1:11" x14ac:dyDescent="0.25">
      <c r="B75" s="691"/>
      <c r="I75" s="693"/>
    </row>
    <row r="76" spans="1:11" x14ac:dyDescent="0.25">
      <c r="I76" s="693"/>
    </row>
    <row r="77" spans="1:11" ht="14.45" customHeight="1" x14ac:dyDescent="0.25">
      <c r="A77" s="687"/>
      <c r="I77" s="693"/>
    </row>
    <row r="78" spans="1:11" ht="14.45" customHeight="1" x14ac:dyDescent="0.25">
      <c r="J78" s="693"/>
    </row>
    <row r="79" spans="1:11" x14ac:dyDescent="0.25">
      <c r="B79" s="685"/>
    </row>
    <row r="80" spans="1:11" ht="21.6" customHeight="1" x14ac:dyDescent="0.25">
      <c r="C80" s="694"/>
    </row>
    <row r="81" spans="1:12" x14ac:dyDescent="0.25">
      <c r="A81" s="692"/>
      <c r="C81" s="694"/>
      <c r="I81" s="693"/>
    </row>
    <row r="82" spans="1:12" x14ac:dyDescent="0.25">
      <c r="I82" s="731"/>
      <c r="J82" s="693"/>
    </row>
    <row r="83" spans="1:12" x14ac:dyDescent="0.25">
      <c r="I83" s="695"/>
      <c r="J83" s="731"/>
      <c r="K83" s="731"/>
      <c r="L83" s="731"/>
    </row>
    <row r="84" spans="1:12" ht="14.45" customHeight="1" x14ac:dyDescent="0.25">
      <c r="B84" s="694"/>
      <c r="I84" s="695"/>
      <c r="J84" s="731"/>
      <c r="K84" s="731"/>
      <c r="L84" s="731"/>
    </row>
    <row r="85" spans="1:12" x14ac:dyDescent="0.25">
      <c r="A85" s="692"/>
      <c r="K85" s="695"/>
      <c r="L85" s="695"/>
    </row>
    <row r="86" spans="1:12" x14ac:dyDescent="0.25">
      <c r="B86" s="691"/>
      <c r="K86" s="695"/>
      <c r="L86" s="695"/>
    </row>
    <row r="87" spans="1:12" x14ac:dyDescent="0.25">
      <c r="B87" s="691"/>
    </row>
    <row r="90" spans="1:12" ht="14.65" customHeight="1" x14ac:dyDescent="0.25"/>
    <row r="91" spans="1:12" x14ac:dyDescent="0.25">
      <c r="I91" s="693"/>
      <c r="J91" s="695"/>
    </row>
    <row r="92" spans="1:12" x14ac:dyDescent="0.25">
      <c r="J92" s="693"/>
    </row>
    <row r="93" spans="1:12" x14ac:dyDescent="0.25">
      <c r="E93" s="694"/>
    </row>
    <row r="94" spans="1:12" x14ac:dyDescent="0.25">
      <c r="E94" s="694"/>
    </row>
  </sheetData>
  <sheetProtection algorithmName="SHA-512" hashValue="UQ9cnOyOs4iYsASRFQP17oyTiKLw0ICRK357uEUhK73EYZ9sSW4K8vzKM+iLfjBFGjtru+TEWB2XJSi2EdCRLA==" saltValue="MI0imgW8AKLlVNCqreBjRA==" spinCount="100000" sheet="1" objects="1" scenarios="1"/>
  <mergeCells count="10">
    <mergeCell ref="A11:P11"/>
    <mergeCell ref="A27:P27"/>
    <mergeCell ref="A42:P42"/>
    <mergeCell ref="A12:P12"/>
    <mergeCell ref="A19:P19"/>
    <mergeCell ref="N9:O9"/>
    <mergeCell ref="A1:H1"/>
    <mergeCell ref="I1:L1"/>
    <mergeCell ref="A2:L2"/>
    <mergeCell ref="A4:L4"/>
  </mergeCells>
  <pageMargins left="0.7" right="0.7" top="0.75" bottom="0.75" header="0.3" footer="0.3"/>
  <pageSetup scale="62" orientation="portrait" r:id="rId1"/>
  <headerFooter>
    <oddFooter>&amp;L&amp;9&amp;A&amp;C&amp;9&amp;P of &amp;N&amp;R&amp;9&amp;F</oddFooter>
  </headerFooter>
  <rowBreaks count="1" manualBreakCount="1">
    <brk id="56" max="1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3B0B-187B-40C8-8D4D-0662EBAE8232}">
  <dimension ref="B1:I138"/>
  <sheetViews>
    <sheetView showGridLines="0" zoomScaleNormal="100" zoomScaleSheetLayoutView="100" workbookViewId="0">
      <selection activeCell="B5" sqref="B5:D5"/>
    </sheetView>
  </sheetViews>
  <sheetFormatPr defaultColWidth="8.7109375" defaultRowHeight="15" x14ac:dyDescent="0.25"/>
  <cols>
    <col min="1" max="1" width="8.5703125" customWidth="1"/>
    <col min="2" max="2" width="10.85546875" customWidth="1"/>
    <col min="3" max="3" width="19.85546875" customWidth="1"/>
    <col min="4" max="4" width="20.140625" customWidth="1"/>
    <col min="5" max="5" width="19.28515625" customWidth="1"/>
    <col min="6" max="6" width="15.7109375" customWidth="1"/>
    <col min="7" max="7" width="24.42578125" bestFit="1" customWidth="1"/>
    <col min="8" max="9" width="17.7109375" customWidth="1"/>
    <col min="10" max="10" width="8.5703125" customWidth="1"/>
    <col min="11" max="11" width="8.85546875" customWidth="1"/>
  </cols>
  <sheetData>
    <row r="1" spans="2:9" ht="16.5" thickBot="1" x14ac:dyDescent="0.3">
      <c r="B1" s="802" t="s">
        <v>377</v>
      </c>
      <c r="C1" s="803"/>
      <c r="D1" s="803"/>
      <c r="E1" s="803"/>
      <c r="F1" s="803"/>
      <c r="G1" s="804" t="s">
        <v>365</v>
      </c>
      <c r="H1" s="804"/>
      <c r="I1" s="805"/>
    </row>
    <row r="2" spans="2:9" ht="16.5" thickBot="1" x14ac:dyDescent="0.3">
      <c r="B2" s="97" t="str">
        <f>Directions!A2</f>
        <v>DT2221     08/2022</v>
      </c>
      <c r="C2" s="98"/>
      <c r="D2" s="569"/>
      <c r="E2" s="569"/>
      <c r="F2" s="569"/>
      <c r="G2" s="569"/>
      <c r="H2" s="569"/>
      <c r="I2" s="667"/>
    </row>
    <row r="3" spans="2:9" ht="16.5" thickBot="1" x14ac:dyDescent="0.3">
      <c r="B3" s="802" t="s">
        <v>295</v>
      </c>
      <c r="C3" s="803"/>
      <c r="D3" s="803"/>
      <c r="E3" s="803"/>
      <c r="F3" s="803"/>
      <c r="G3" s="803"/>
      <c r="H3" s="803"/>
      <c r="I3" s="810"/>
    </row>
    <row r="4" spans="2:9" x14ac:dyDescent="0.25">
      <c r="B4" s="880" t="s">
        <v>296</v>
      </c>
      <c r="C4" s="877"/>
      <c r="D4" s="964"/>
      <c r="E4" s="99" t="s">
        <v>16</v>
      </c>
      <c r="F4" s="914" t="s">
        <v>17</v>
      </c>
      <c r="G4" s="914"/>
      <c r="H4" s="914" t="s">
        <v>18</v>
      </c>
      <c r="I4" s="915"/>
    </row>
    <row r="5" spans="2:9" ht="15.75" x14ac:dyDescent="0.25">
      <c r="B5" s="936"/>
      <c r="C5" s="937"/>
      <c r="D5" s="989"/>
      <c r="E5" s="662"/>
      <c r="F5" s="984"/>
      <c r="G5" s="989"/>
      <c r="H5" s="984"/>
      <c r="I5" s="985"/>
    </row>
    <row r="6" spans="2:9" x14ac:dyDescent="0.25">
      <c r="B6" s="920" t="s">
        <v>19</v>
      </c>
      <c r="C6" s="914"/>
      <c r="D6" s="914"/>
      <c r="E6" s="914"/>
      <c r="F6" s="914" t="s">
        <v>20</v>
      </c>
      <c r="G6" s="914"/>
      <c r="H6" s="914"/>
      <c r="I6" s="915"/>
    </row>
    <row r="7" spans="2:9" ht="15.75" x14ac:dyDescent="0.25">
      <c r="B7" s="982"/>
      <c r="C7" s="983"/>
      <c r="D7" s="983"/>
      <c r="E7" s="983"/>
      <c r="F7" s="984"/>
      <c r="G7" s="937"/>
      <c r="H7" s="937"/>
      <c r="I7" s="985"/>
    </row>
    <row r="8" spans="2:9" x14ac:dyDescent="0.25">
      <c r="B8" s="920" t="s">
        <v>21</v>
      </c>
      <c r="C8" s="914"/>
      <c r="D8" s="914"/>
      <c r="E8" s="914"/>
      <c r="F8" s="914" t="s">
        <v>297</v>
      </c>
      <c r="G8" s="914"/>
      <c r="H8" s="914"/>
      <c r="I8" s="915"/>
    </row>
    <row r="9" spans="2:9" ht="16.5" thickBot="1" x14ac:dyDescent="0.3">
      <c r="B9" s="986"/>
      <c r="C9" s="987"/>
      <c r="D9" s="987"/>
      <c r="E9" s="987"/>
      <c r="F9" s="987"/>
      <c r="G9" s="987"/>
      <c r="H9" s="987"/>
      <c r="I9" s="988"/>
    </row>
    <row r="10" spans="2:9" ht="16.5" thickBot="1" x14ac:dyDescent="0.3">
      <c r="B10" s="802" t="s">
        <v>298</v>
      </c>
      <c r="C10" s="803"/>
      <c r="D10" s="803"/>
      <c r="E10" s="803"/>
      <c r="F10" s="803"/>
      <c r="G10" s="803"/>
      <c r="H10" s="803"/>
      <c r="I10" s="810"/>
    </row>
    <row r="11" spans="2:9" x14ac:dyDescent="0.25">
      <c r="B11" s="880" t="s">
        <v>294</v>
      </c>
      <c r="C11" s="877"/>
      <c r="D11" s="877"/>
      <c r="E11" s="877"/>
      <c r="F11" s="877"/>
      <c r="G11" s="877"/>
      <c r="H11" s="876" t="s">
        <v>299</v>
      </c>
      <c r="I11" s="965"/>
    </row>
    <row r="12" spans="2:9" ht="15.75" x14ac:dyDescent="0.25">
      <c r="B12" s="936"/>
      <c r="C12" s="937"/>
      <c r="D12" s="937"/>
      <c r="E12" s="937"/>
      <c r="F12" s="937"/>
      <c r="G12" s="989"/>
      <c r="H12" s="962"/>
      <c r="I12" s="963"/>
    </row>
    <row r="13" spans="2:9" x14ac:dyDescent="0.25">
      <c r="B13" s="880" t="s">
        <v>300</v>
      </c>
      <c r="C13" s="877"/>
      <c r="D13" s="877"/>
      <c r="E13" s="877"/>
      <c r="F13" s="876" t="s">
        <v>142</v>
      </c>
      <c r="G13" s="964"/>
      <c r="H13" s="100" t="s">
        <v>143</v>
      </c>
      <c r="I13" s="101" t="s">
        <v>144</v>
      </c>
    </row>
    <row r="14" spans="2:9" ht="16.5" thickBot="1" x14ac:dyDescent="0.3">
      <c r="B14" s="990"/>
      <c r="C14" s="991"/>
      <c r="D14" s="991"/>
      <c r="E14" s="991"/>
      <c r="F14" s="881"/>
      <c r="G14" s="992"/>
      <c r="H14" s="102"/>
      <c r="I14" s="103"/>
    </row>
    <row r="15" spans="2:9" ht="16.5" thickBot="1" x14ac:dyDescent="0.3">
      <c r="B15" s="802" t="s">
        <v>301</v>
      </c>
      <c r="C15" s="803"/>
      <c r="D15" s="803"/>
      <c r="E15" s="803"/>
      <c r="F15" s="803"/>
      <c r="G15" s="803"/>
      <c r="H15" s="803"/>
      <c r="I15" s="810"/>
    </row>
    <row r="16" spans="2:9" x14ac:dyDescent="0.25">
      <c r="B16" s="880" t="s">
        <v>302</v>
      </c>
      <c r="C16" s="877"/>
      <c r="D16" s="877"/>
      <c r="E16" s="877"/>
      <c r="F16" s="877"/>
      <c r="G16" s="877"/>
      <c r="H16" s="876" t="s">
        <v>299</v>
      </c>
      <c r="I16" s="965"/>
    </row>
    <row r="17" spans="2:9" ht="15.75" x14ac:dyDescent="0.25">
      <c r="B17" s="936"/>
      <c r="C17" s="937"/>
      <c r="D17" s="937"/>
      <c r="E17" s="937"/>
      <c r="F17" s="937"/>
      <c r="G17" s="989"/>
      <c r="H17" s="962"/>
      <c r="I17" s="963"/>
    </row>
    <row r="18" spans="2:9" x14ac:dyDescent="0.25">
      <c r="B18" s="880" t="s">
        <v>300</v>
      </c>
      <c r="C18" s="877"/>
      <c r="D18" s="877"/>
      <c r="E18" s="877"/>
      <c r="F18" s="876" t="s">
        <v>142</v>
      </c>
      <c r="G18" s="877"/>
      <c r="H18" s="100" t="s">
        <v>143</v>
      </c>
      <c r="I18" s="101" t="s">
        <v>144</v>
      </c>
    </row>
    <row r="19" spans="2:9" ht="16.5" thickBot="1" x14ac:dyDescent="0.3">
      <c r="B19" s="990"/>
      <c r="C19" s="991"/>
      <c r="D19" s="991"/>
      <c r="E19" s="991"/>
      <c r="F19" s="881"/>
      <c r="G19" s="992"/>
      <c r="H19" s="102"/>
      <c r="I19" s="103"/>
    </row>
    <row r="20" spans="2:9" ht="16.5" thickBot="1" x14ac:dyDescent="0.3">
      <c r="B20" s="802" t="s">
        <v>303</v>
      </c>
      <c r="C20" s="803"/>
      <c r="D20" s="803"/>
      <c r="E20" s="803"/>
      <c r="F20" s="803"/>
      <c r="G20" s="803"/>
      <c r="H20" s="803"/>
      <c r="I20" s="810"/>
    </row>
    <row r="21" spans="2:9" x14ac:dyDescent="0.25">
      <c r="B21" s="880" t="s">
        <v>304</v>
      </c>
      <c r="C21" s="877"/>
      <c r="D21" s="964"/>
      <c r="E21" s="99" t="s">
        <v>139</v>
      </c>
      <c r="F21" s="914" t="s">
        <v>140</v>
      </c>
      <c r="G21" s="914"/>
      <c r="H21" s="914" t="s">
        <v>553</v>
      </c>
      <c r="I21" s="915"/>
    </row>
    <row r="22" spans="2:9" ht="15.75" x14ac:dyDescent="0.25">
      <c r="B22" s="936"/>
      <c r="C22" s="937"/>
      <c r="D22" s="989"/>
      <c r="E22" s="105" t="str">
        <f>'7 Calculation Check'!E19</f>
        <v>0 - OAG</v>
      </c>
      <c r="F22" s="984"/>
      <c r="G22" s="989"/>
      <c r="H22" s="1009"/>
      <c r="I22" s="1010"/>
    </row>
    <row r="23" spans="2:9" ht="14.45" customHeight="1" x14ac:dyDescent="0.25">
      <c r="B23" s="1004" t="s">
        <v>141</v>
      </c>
      <c r="C23" s="1005"/>
      <c r="D23" s="1005"/>
      <c r="E23" s="1005"/>
      <c r="F23" s="1005"/>
      <c r="G23" s="1005"/>
      <c r="H23" s="1005"/>
      <c r="I23" s="1006"/>
    </row>
    <row r="24" spans="2:9" x14ac:dyDescent="0.25">
      <c r="B24" s="1013" t="s">
        <v>305</v>
      </c>
      <c r="C24" s="1014"/>
      <c r="D24" s="995" t="s">
        <v>24</v>
      </c>
      <c r="E24" s="996"/>
      <c r="F24" s="996"/>
      <c r="G24" s="996"/>
      <c r="H24" s="996"/>
      <c r="I24" s="997"/>
    </row>
    <row r="25" spans="2:9" ht="15.75" x14ac:dyDescent="0.25">
      <c r="B25" s="993"/>
      <c r="C25" s="994"/>
      <c r="D25" s="870"/>
      <c r="E25" s="871"/>
      <c r="F25" s="871"/>
      <c r="G25" s="871"/>
      <c r="H25" s="871"/>
      <c r="I25" s="872"/>
    </row>
    <row r="26" spans="2:9" ht="15.75" x14ac:dyDescent="0.25">
      <c r="B26" s="993"/>
      <c r="C26" s="994"/>
      <c r="D26" s="870"/>
      <c r="E26" s="871"/>
      <c r="F26" s="871"/>
      <c r="G26" s="871"/>
      <c r="H26" s="871"/>
      <c r="I26" s="872"/>
    </row>
    <row r="27" spans="2:9" ht="15.75" x14ac:dyDescent="0.25">
      <c r="B27" s="993"/>
      <c r="C27" s="994"/>
      <c r="D27" s="870"/>
      <c r="E27" s="871"/>
      <c r="F27" s="871"/>
      <c r="G27" s="871"/>
      <c r="H27" s="871"/>
      <c r="I27" s="872"/>
    </row>
    <row r="28" spans="2:9" ht="15.75" x14ac:dyDescent="0.25">
      <c r="B28" s="993"/>
      <c r="C28" s="994"/>
      <c r="D28" s="870"/>
      <c r="E28" s="871"/>
      <c r="F28" s="871"/>
      <c r="G28" s="871"/>
      <c r="H28" s="871"/>
      <c r="I28" s="872"/>
    </row>
    <row r="29" spans="2:9" ht="15.75" x14ac:dyDescent="0.25">
      <c r="B29" s="993"/>
      <c r="C29" s="994"/>
      <c r="D29" s="870"/>
      <c r="E29" s="871"/>
      <c r="F29" s="871"/>
      <c r="G29" s="871"/>
      <c r="H29" s="871"/>
      <c r="I29" s="872"/>
    </row>
    <row r="30" spans="2:9" ht="15.75" x14ac:dyDescent="0.25">
      <c r="B30" s="993"/>
      <c r="C30" s="994"/>
      <c r="D30" s="870"/>
      <c r="E30" s="871"/>
      <c r="F30" s="871"/>
      <c r="G30" s="871"/>
      <c r="H30" s="871"/>
      <c r="I30" s="872"/>
    </row>
    <row r="31" spans="2:9" ht="15.75" x14ac:dyDescent="0.25">
      <c r="B31" s="993"/>
      <c r="C31" s="994"/>
      <c r="D31" s="870"/>
      <c r="E31" s="871"/>
      <c r="F31" s="871"/>
      <c r="G31" s="871"/>
      <c r="H31" s="871"/>
      <c r="I31" s="872"/>
    </row>
    <row r="32" spans="2:9" ht="15.75" x14ac:dyDescent="0.25">
      <c r="B32" s="993"/>
      <c r="C32" s="994"/>
      <c r="D32" s="870"/>
      <c r="E32" s="871"/>
      <c r="F32" s="871"/>
      <c r="G32" s="871"/>
      <c r="H32" s="871"/>
      <c r="I32" s="872"/>
    </row>
    <row r="33" spans="2:9" x14ac:dyDescent="0.25">
      <c r="B33" s="880" t="s">
        <v>306</v>
      </c>
      <c r="C33" s="877"/>
      <c r="D33" s="877"/>
      <c r="E33" s="877"/>
      <c r="F33" s="877"/>
      <c r="G33" s="877"/>
      <c r="H33" s="876" t="s">
        <v>307</v>
      </c>
      <c r="I33" s="965"/>
    </row>
    <row r="34" spans="2:9" ht="15.75" x14ac:dyDescent="0.25">
      <c r="B34" s="936"/>
      <c r="C34" s="937"/>
      <c r="D34" s="937"/>
      <c r="E34" s="937"/>
      <c r="F34" s="937"/>
      <c r="G34" s="989"/>
      <c r="H34" s="984"/>
      <c r="I34" s="985"/>
    </row>
    <row r="35" spans="2:9" x14ac:dyDescent="0.25">
      <c r="B35" s="880" t="s">
        <v>145</v>
      </c>
      <c r="C35" s="877"/>
      <c r="D35" s="877"/>
      <c r="E35" s="964"/>
      <c r="F35" s="876" t="s">
        <v>142</v>
      </c>
      <c r="G35" s="964"/>
      <c r="H35" s="100" t="s">
        <v>143</v>
      </c>
      <c r="I35" s="101" t="s">
        <v>144</v>
      </c>
    </row>
    <row r="36" spans="2:9" ht="16.5" thickBot="1" x14ac:dyDescent="0.3">
      <c r="B36" s="878"/>
      <c r="C36" s="879"/>
      <c r="D36" s="879"/>
      <c r="E36" s="992"/>
      <c r="F36" s="881"/>
      <c r="G36" s="992"/>
      <c r="H36" s="109"/>
      <c r="I36" s="110"/>
    </row>
    <row r="37" spans="2:9" ht="16.5" thickBot="1" x14ac:dyDescent="0.3">
      <c r="B37" s="802" t="s">
        <v>582</v>
      </c>
      <c r="C37" s="803"/>
      <c r="D37" s="803"/>
      <c r="E37" s="803"/>
      <c r="F37" s="803"/>
      <c r="G37" s="803"/>
      <c r="H37" s="803"/>
      <c r="I37" s="810"/>
    </row>
    <row r="38" spans="2:9" x14ac:dyDescent="0.25">
      <c r="B38" s="1028" t="s">
        <v>495</v>
      </c>
      <c r="C38" s="1029"/>
      <c r="D38" s="758" t="s">
        <v>496</v>
      </c>
      <c r="E38" s="1002" t="s">
        <v>447</v>
      </c>
      <c r="F38" s="1002"/>
      <c r="G38" s="756" t="s">
        <v>602</v>
      </c>
      <c r="H38" s="759" t="s">
        <v>204</v>
      </c>
      <c r="I38" s="757" t="s">
        <v>448</v>
      </c>
    </row>
    <row r="39" spans="2:9" ht="16.5" thickBot="1" x14ac:dyDescent="0.3">
      <c r="B39" s="1007"/>
      <c r="C39" s="1008"/>
      <c r="D39" s="742"/>
      <c r="E39" s="1003"/>
      <c r="F39" s="1003"/>
      <c r="G39" s="704"/>
      <c r="H39" s="775"/>
      <c r="I39" s="754" t="str">
        <f>'Optimize Tool'!T11</f>
        <v>-</v>
      </c>
    </row>
    <row r="40" spans="2:9" ht="16.5" thickBot="1" x14ac:dyDescent="0.3">
      <c r="B40" s="802" t="s">
        <v>555</v>
      </c>
      <c r="C40" s="803"/>
      <c r="D40" s="803"/>
      <c r="E40" s="803"/>
      <c r="F40" s="803"/>
      <c r="G40" s="803"/>
      <c r="H40" s="803"/>
      <c r="I40" s="810"/>
    </row>
    <row r="41" spans="2:9" s="106" customFormat="1" ht="15" customHeight="1" x14ac:dyDescent="0.25">
      <c r="B41" s="969" t="s">
        <v>308</v>
      </c>
      <c r="C41" s="970"/>
      <c r="D41" s="970"/>
      <c r="E41" s="970"/>
      <c r="F41" s="970"/>
      <c r="G41" s="970"/>
      <c r="H41" s="970"/>
      <c r="I41" s="971"/>
    </row>
    <row r="42" spans="2:9" x14ac:dyDescent="0.25">
      <c r="B42" s="972"/>
      <c r="C42" s="973"/>
      <c r="D42" s="973"/>
      <c r="E42" s="973"/>
      <c r="F42" s="973"/>
      <c r="G42" s="973"/>
      <c r="H42" s="973"/>
      <c r="I42" s="974"/>
    </row>
    <row r="43" spans="2:9" x14ac:dyDescent="0.25">
      <c r="B43" s="972"/>
      <c r="C43" s="973"/>
      <c r="D43" s="973"/>
      <c r="E43" s="973"/>
      <c r="F43" s="973"/>
      <c r="G43" s="973"/>
      <c r="H43" s="973"/>
      <c r="I43" s="974"/>
    </row>
    <row r="44" spans="2:9" x14ac:dyDescent="0.25">
      <c r="B44" s="972"/>
      <c r="C44" s="973"/>
      <c r="D44" s="973"/>
      <c r="E44" s="973"/>
      <c r="F44" s="973"/>
      <c r="G44" s="973"/>
      <c r="H44" s="973"/>
      <c r="I44" s="974"/>
    </row>
    <row r="45" spans="2:9" x14ac:dyDescent="0.25">
      <c r="B45" s="975"/>
      <c r="C45" s="976"/>
      <c r="D45" s="976"/>
      <c r="E45" s="976"/>
      <c r="F45" s="976"/>
      <c r="G45" s="976"/>
      <c r="H45" s="976"/>
      <c r="I45" s="977"/>
    </row>
    <row r="46" spans="2:9" x14ac:dyDescent="0.25">
      <c r="B46" s="880" t="s">
        <v>146</v>
      </c>
      <c r="C46" s="877"/>
      <c r="D46" s="877"/>
      <c r="E46" s="933" t="s">
        <v>337</v>
      </c>
      <c r="F46" s="934"/>
      <c r="G46" s="935"/>
      <c r="H46" s="107" t="s">
        <v>147</v>
      </c>
      <c r="I46" s="755" t="s">
        <v>554</v>
      </c>
    </row>
    <row r="47" spans="2:9" ht="15.75" x14ac:dyDescent="0.25">
      <c r="B47" s="936"/>
      <c r="C47" s="937"/>
      <c r="D47" s="937"/>
      <c r="E47" s="984"/>
      <c r="F47" s="937"/>
      <c r="G47" s="989"/>
      <c r="H47" s="108"/>
      <c r="I47" s="501"/>
    </row>
    <row r="48" spans="2:9" x14ac:dyDescent="0.25">
      <c r="B48" s="880" t="s">
        <v>148</v>
      </c>
      <c r="C48" s="877"/>
      <c r="D48" s="877"/>
      <c r="E48" s="876" t="s">
        <v>309</v>
      </c>
      <c r="F48" s="877"/>
      <c r="G48" s="964"/>
      <c r="H48" s="876" t="s">
        <v>299</v>
      </c>
      <c r="I48" s="965"/>
    </row>
    <row r="49" spans="2:9" ht="15.75" x14ac:dyDescent="0.25">
      <c r="B49" s="936"/>
      <c r="C49" s="937"/>
      <c r="D49" s="937"/>
      <c r="E49" s="966"/>
      <c r="F49" s="967"/>
      <c r="G49" s="968"/>
      <c r="H49" s="962"/>
      <c r="I49" s="963"/>
    </row>
    <row r="50" spans="2:9" x14ac:dyDescent="0.25">
      <c r="B50" s="880" t="s">
        <v>145</v>
      </c>
      <c r="C50" s="877"/>
      <c r="D50" s="877"/>
      <c r="E50" s="877"/>
      <c r="F50" s="876" t="s">
        <v>142</v>
      </c>
      <c r="G50" s="964"/>
      <c r="H50" s="100" t="s">
        <v>143</v>
      </c>
      <c r="I50" s="101" t="s">
        <v>144</v>
      </c>
    </row>
    <row r="51" spans="2:9" ht="16.5" thickBot="1" x14ac:dyDescent="0.3">
      <c r="B51" s="936"/>
      <c r="C51" s="937"/>
      <c r="D51" s="937"/>
      <c r="E51" s="937"/>
      <c r="F51" s="984"/>
      <c r="G51" s="989"/>
      <c r="H51" s="102"/>
      <c r="I51" s="104"/>
    </row>
    <row r="52" spans="2:9" ht="16.5" thickBot="1" x14ac:dyDescent="0.3">
      <c r="B52" s="802" t="s">
        <v>556</v>
      </c>
      <c r="C52" s="803"/>
      <c r="D52" s="803"/>
      <c r="E52" s="803"/>
      <c r="F52" s="803"/>
      <c r="G52" s="803"/>
      <c r="H52" s="803"/>
      <c r="I52" s="810"/>
    </row>
    <row r="53" spans="2:9" ht="14.45" customHeight="1" x14ac:dyDescent="0.25">
      <c r="B53" s="969" t="s">
        <v>310</v>
      </c>
      <c r="C53" s="970"/>
      <c r="D53" s="970"/>
      <c r="E53" s="970"/>
      <c r="F53" s="970"/>
      <c r="G53" s="970"/>
      <c r="H53" s="970"/>
      <c r="I53" s="971"/>
    </row>
    <row r="54" spans="2:9" x14ac:dyDescent="0.25">
      <c r="B54" s="972"/>
      <c r="C54" s="973"/>
      <c r="D54" s="973"/>
      <c r="E54" s="973"/>
      <c r="F54" s="973"/>
      <c r="G54" s="973"/>
      <c r="H54" s="973"/>
      <c r="I54" s="974"/>
    </row>
    <row r="55" spans="2:9" x14ac:dyDescent="0.25">
      <c r="B55" s="975"/>
      <c r="C55" s="976"/>
      <c r="D55" s="976"/>
      <c r="E55" s="976"/>
      <c r="F55" s="976"/>
      <c r="G55" s="976"/>
      <c r="H55" s="976"/>
      <c r="I55" s="977"/>
    </row>
    <row r="56" spans="2:9" x14ac:dyDescent="0.25">
      <c r="B56" s="880" t="s">
        <v>252</v>
      </c>
      <c r="C56" s="877"/>
      <c r="D56" s="964"/>
      <c r="E56" s="876" t="s">
        <v>311</v>
      </c>
      <c r="F56" s="877"/>
      <c r="G56" s="964"/>
      <c r="H56" s="914" t="s">
        <v>554</v>
      </c>
      <c r="I56" s="915"/>
    </row>
    <row r="57" spans="2:9" ht="15.75" x14ac:dyDescent="0.25">
      <c r="B57" s="978"/>
      <c r="C57" s="979"/>
      <c r="D57" s="980"/>
      <c r="E57" s="981"/>
      <c r="F57" s="979"/>
      <c r="G57" s="980"/>
      <c r="H57" s="938"/>
      <c r="I57" s="939"/>
    </row>
    <row r="58" spans="2:9" x14ac:dyDescent="0.25">
      <c r="B58" s="880" t="s">
        <v>148</v>
      </c>
      <c r="C58" s="877"/>
      <c r="D58" s="877"/>
      <c r="E58" s="876" t="s">
        <v>309</v>
      </c>
      <c r="F58" s="877"/>
      <c r="G58" s="964"/>
      <c r="H58" s="876" t="s">
        <v>299</v>
      </c>
      <c r="I58" s="965"/>
    </row>
    <row r="59" spans="2:9" ht="15.75" x14ac:dyDescent="0.25">
      <c r="B59" s="936"/>
      <c r="C59" s="937"/>
      <c r="D59" s="937"/>
      <c r="E59" s="966"/>
      <c r="F59" s="967"/>
      <c r="G59" s="968"/>
      <c r="H59" s="962"/>
      <c r="I59" s="963"/>
    </row>
    <row r="60" spans="2:9" x14ac:dyDescent="0.25">
      <c r="B60" s="880" t="s">
        <v>145</v>
      </c>
      <c r="C60" s="877"/>
      <c r="D60" s="877"/>
      <c r="E60" s="877"/>
      <c r="F60" s="876" t="s">
        <v>142</v>
      </c>
      <c r="G60" s="877"/>
      <c r="H60" s="100" t="s">
        <v>143</v>
      </c>
      <c r="I60" s="101" t="s">
        <v>144</v>
      </c>
    </row>
    <row r="61" spans="2:9" ht="16.5" thickBot="1" x14ac:dyDescent="0.3">
      <c r="B61" s="878"/>
      <c r="C61" s="879"/>
      <c r="D61" s="879"/>
      <c r="E61" s="879"/>
      <c r="F61" s="881"/>
      <c r="G61" s="879"/>
      <c r="H61" s="109"/>
      <c r="I61" s="110"/>
    </row>
    <row r="62" spans="2:9" ht="16.5" thickBot="1" x14ac:dyDescent="0.3">
      <c r="B62" s="802" t="s">
        <v>377</v>
      </c>
      <c r="C62" s="803"/>
      <c r="D62" s="803"/>
      <c r="E62" s="803"/>
      <c r="F62" s="803"/>
      <c r="G62" s="804" t="s">
        <v>365</v>
      </c>
      <c r="H62" s="804"/>
      <c r="I62" s="805"/>
    </row>
    <row r="63" spans="2:9" ht="15.75" x14ac:dyDescent="0.25">
      <c r="B63" s="97" t="str">
        <f>Directions!A2</f>
        <v>DT2221     08/2022</v>
      </c>
      <c r="C63" s="168"/>
      <c r="D63" s="569"/>
      <c r="E63" s="569"/>
      <c r="F63" s="569"/>
      <c r="G63" s="569"/>
      <c r="H63" s="569"/>
      <c r="I63" s="667"/>
    </row>
    <row r="64" spans="2:9" ht="15.75" x14ac:dyDescent="0.25">
      <c r="B64" s="882" t="s">
        <v>14</v>
      </c>
      <c r="C64" s="883"/>
      <c r="D64" s="883"/>
      <c r="E64" s="883"/>
      <c r="F64" s="883"/>
      <c r="G64" s="883"/>
      <c r="H64" s="883"/>
      <c r="I64" s="884"/>
    </row>
    <row r="65" spans="2:9" ht="13.15" customHeight="1" x14ac:dyDescent="0.25">
      <c r="B65" s="920" t="s">
        <v>15</v>
      </c>
      <c r="C65" s="914"/>
      <c r="D65" s="914" t="s">
        <v>16</v>
      </c>
      <c r="E65" s="914"/>
      <c r="F65" s="914" t="s">
        <v>17</v>
      </c>
      <c r="G65" s="914"/>
      <c r="H65" s="914" t="s">
        <v>18</v>
      </c>
      <c r="I65" s="915"/>
    </row>
    <row r="66" spans="2:9" ht="13.15" customHeight="1" x14ac:dyDescent="0.25">
      <c r="B66" s="943" t="str">
        <f>IF(ISBLANK(B5),"",B5)</f>
        <v/>
      </c>
      <c r="C66" s="931"/>
      <c r="D66" s="930" t="str">
        <f>IF(ISBLANK(E5),"",E5)</f>
        <v/>
      </c>
      <c r="E66" s="931"/>
      <c r="F66" s="930" t="str">
        <f>IF(ISBLANK(F5),"",F5)</f>
        <v/>
      </c>
      <c r="G66" s="931"/>
      <c r="H66" s="930" t="str">
        <f>IF(ISBLANK(H5),"",H5)</f>
        <v/>
      </c>
      <c r="I66" s="932"/>
    </row>
    <row r="67" spans="2:9" x14ac:dyDescent="0.25">
      <c r="B67" s="920" t="s">
        <v>19</v>
      </c>
      <c r="C67" s="914"/>
      <c r="D67" s="914"/>
      <c r="E67" s="914"/>
      <c r="F67" s="914" t="s">
        <v>20</v>
      </c>
      <c r="G67" s="914"/>
      <c r="H67" s="914"/>
      <c r="I67" s="915"/>
    </row>
    <row r="68" spans="2:9" ht="13.15" customHeight="1" x14ac:dyDescent="0.25">
      <c r="B68" s="944" t="str">
        <f>IF(ISBLANK(B7),"",B7)</f>
        <v/>
      </c>
      <c r="C68" s="912"/>
      <c r="D68" s="912"/>
      <c r="E68" s="912"/>
      <c r="F68" s="912" t="str">
        <f>IF(ISBLANK(F7),"",F7)</f>
        <v/>
      </c>
      <c r="G68" s="912"/>
      <c r="H68" s="912"/>
      <c r="I68" s="913"/>
    </row>
    <row r="69" spans="2:9" x14ac:dyDescent="0.25">
      <c r="B69" s="920" t="s">
        <v>21</v>
      </c>
      <c r="C69" s="914"/>
      <c r="D69" s="914"/>
      <c r="E69" s="914"/>
      <c r="F69" s="914" t="s">
        <v>297</v>
      </c>
      <c r="G69" s="914"/>
      <c r="H69" s="914"/>
      <c r="I69" s="915"/>
    </row>
    <row r="70" spans="2:9" ht="13.15" customHeight="1" thickBot="1" x14ac:dyDescent="0.3">
      <c r="B70" s="945" t="str">
        <f>IF(ISBLANK(B9),"",B9)</f>
        <v/>
      </c>
      <c r="C70" s="916"/>
      <c r="D70" s="916"/>
      <c r="E70" s="916"/>
      <c r="F70" s="916" t="str">
        <f>IF(ISBLANK(F9),"",F9)</f>
        <v/>
      </c>
      <c r="G70" s="916"/>
      <c r="H70" s="916"/>
      <c r="I70" s="917"/>
    </row>
    <row r="71" spans="2:9" ht="13.15" customHeight="1" thickBot="1" x14ac:dyDescent="0.3">
      <c r="B71" s="946" t="s">
        <v>138</v>
      </c>
      <c r="C71" s="947"/>
      <c r="D71" s="947"/>
      <c r="E71" s="947"/>
      <c r="F71" s="947"/>
      <c r="G71" s="947"/>
      <c r="H71" s="947"/>
      <c r="I71" s="948"/>
    </row>
    <row r="72" spans="2:9" ht="13.15" customHeight="1" thickBot="1" x14ac:dyDescent="0.3">
      <c r="B72" s="111"/>
      <c r="C72" s="112"/>
      <c r="D72" s="112"/>
      <c r="E72" s="112"/>
      <c r="F72" s="112"/>
      <c r="G72" s="112"/>
      <c r="H72" s="112"/>
      <c r="I72" s="113"/>
    </row>
    <row r="73" spans="2:9" ht="13.15" customHeight="1" thickBot="1" x14ac:dyDescent="0.3">
      <c r="B73" s="921" t="s">
        <v>314</v>
      </c>
      <c r="C73" s="922"/>
      <c r="D73" s="922"/>
      <c r="E73" s="923"/>
      <c r="G73" s="949" t="s">
        <v>320</v>
      </c>
      <c r="H73" s="950"/>
      <c r="I73" s="951"/>
    </row>
    <row r="74" spans="2:9" ht="13.15" customHeight="1" thickBot="1" x14ac:dyDescent="0.3">
      <c r="B74" s="117" t="s">
        <v>23</v>
      </c>
      <c r="C74" s="924" t="s">
        <v>329</v>
      </c>
      <c r="D74" s="925"/>
      <c r="E74" s="117" t="s">
        <v>171</v>
      </c>
      <c r="G74" s="955" t="s">
        <v>77</v>
      </c>
      <c r="H74" s="952" t="s">
        <v>313</v>
      </c>
      <c r="I74" s="958" t="s">
        <v>321</v>
      </c>
    </row>
    <row r="75" spans="2:9" ht="13.15" customHeight="1" x14ac:dyDescent="0.25">
      <c r="B75" s="118" t="s">
        <v>158</v>
      </c>
      <c r="C75" s="926" t="str">
        <f>'7 Calculation Check'!AB5</f>
        <v>-</v>
      </c>
      <c r="D75" s="927"/>
      <c r="E75" s="119" t="str">
        <f>IF('7 Calculation Check'!AA5=0,"",'7 Calculation Check'!AA5)</f>
        <v>-</v>
      </c>
      <c r="G75" s="956"/>
      <c r="H75" s="953"/>
      <c r="I75" s="919"/>
    </row>
    <row r="76" spans="2:9" ht="13.15" customHeight="1" thickBot="1" x14ac:dyDescent="0.3">
      <c r="B76" s="120" t="s">
        <v>159</v>
      </c>
      <c r="C76" s="928" t="str">
        <f>'7 Calculation Check'!AB6</f>
        <v>-</v>
      </c>
      <c r="D76" s="929"/>
      <c r="E76" s="119" t="str">
        <f>IF('7 Calculation Check'!AA6=0,"",'7 Calculation Check'!AA6)</f>
        <v>-</v>
      </c>
      <c r="G76" s="957"/>
      <c r="H76" s="954"/>
      <c r="I76" s="959"/>
    </row>
    <row r="77" spans="2:9" ht="13.15" customHeight="1" x14ac:dyDescent="0.25">
      <c r="B77" s="120" t="s">
        <v>176</v>
      </c>
      <c r="C77" s="928" t="str">
        <f>'7 Calculation Check'!AB7</f>
        <v>-</v>
      </c>
      <c r="D77" s="929"/>
      <c r="E77" s="119" t="str">
        <f>IF('7 Calculation Check'!AA7=0,"",'7 Calculation Check'!AA7)</f>
        <v>-</v>
      </c>
      <c r="G77" s="918" t="str">
        <f>'7 Calculation Check'!Z28</f>
        <v>-</v>
      </c>
      <c r="H77" s="918" t="str">
        <f>'7 Calculation Check'!AA28</f>
        <v>-</v>
      </c>
      <c r="I77" s="960" t="str">
        <f>'7 Calculation Check'!AB28</f>
        <v>-</v>
      </c>
    </row>
    <row r="78" spans="2:9" ht="15" customHeight="1" x14ac:dyDescent="0.25">
      <c r="B78" s="120" t="s">
        <v>177</v>
      </c>
      <c r="C78" s="928" t="str">
        <f>'7 Calculation Check'!AB8</f>
        <v>-</v>
      </c>
      <c r="D78" s="929"/>
      <c r="E78" s="119" t="str">
        <f>IF('7 Calculation Check'!AA8=0,"",'7 Calculation Check'!AA8)</f>
        <v>-</v>
      </c>
      <c r="G78" s="919"/>
      <c r="H78" s="919"/>
      <c r="I78" s="961"/>
    </row>
    <row r="79" spans="2:9" ht="14.45" customHeight="1" thickBot="1" x14ac:dyDescent="0.3">
      <c r="B79" s="121" t="s">
        <v>178</v>
      </c>
      <c r="C79" s="928" t="str">
        <f>'7 Calculation Check'!AB9</f>
        <v>-</v>
      </c>
      <c r="D79" s="929"/>
      <c r="E79" s="122" t="str">
        <f>IF('7 Calculation Check'!AA9=0,"",'7 Calculation Check'!AA9)</f>
        <v>-</v>
      </c>
      <c r="G79" s="918" t="str">
        <f>'7 Calculation Check'!Z29</f>
        <v>-</v>
      </c>
      <c r="H79" s="918" t="str">
        <f>'7 Calculation Check'!AA29</f>
        <v>-</v>
      </c>
      <c r="I79" s="960" t="str">
        <f>'7 Calculation Check'!AB29</f>
        <v>-</v>
      </c>
    </row>
    <row r="80" spans="2:9" ht="13.15" customHeight="1" thickBot="1" x14ac:dyDescent="0.3">
      <c r="B80" s="849" t="s">
        <v>326</v>
      </c>
      <c r="C80" s="850"/>
      <c r="D80" s="852"/>
      <c r="E80" s="123">
        <f>'2 Aggregate System'!C19</f>
        <v>0</v>
      </c>
      <c r="G80" s="919"/>
      <c r="H80" s="919"/>
      <c r="I80" s="961"/>
    </row>
    <row r="81" spans="2:9" ht="13.15" customHeight="1" x14ac:dyDescent="0.25">
      <c r="B81" s="124"/>
      <c r="G81" s="918" t="str">
        <f>'7 Calculation Check'!Z30</f>
        <v>-</v>
      </c>
      <c r="H81" s="918" t="str">
        <f>'7 Calculation Check'!AA30</f>
        <v>-</v>
      </c>
      <c r="I81" s="960" t="str">
        <f>'7 Calculation Check'!AB30</f>
        <v>-</v>
      </c>
    </row>
    <row r="82" spans="2:9" ht="13.15" customHeight="1" thickBot="1" x14ac:dyDescent="0.3">
      <c r="B82" s="124"/>
      <c r="G82" s="919"/>
      <c r="H82" s="919"/>
      <c r="I82" s="961"/>
    </row>
    <row r="83" spans="2:9" ht="13.15" customHeight="1" thickBot="1" x14ac:dyDescent="0.3">
      <c r="B83" s="949" t="s">
        <v>477</v>
      </c>
      <c r="C83" s="941"/>
      <c r="D83" s="941"/>
      <c r="E83" s="942"/>
      <c r="G83" s="918" t="str">
        <f>'7 Calculation Check'!Z31</f>
        <v>-</v>
      </c>
      <c r="H83" s="918" t="str">
        <f>'7 Calculation Check'!AA31</f>
        <v>-</v>
      </c>
      <c r="I83" s="960" t="str">
        <f>'7 Calculation Check'!AB31</f>
        <v>-</v>
      </c>
    </row>
    <row r="84" spans="2:9" ht="13.15" customHeight="1" thickBot="1" x14ac:dyDescent="0.3">
      <c r="B84" s="123" t="s">
        <v>23</v>
      </c>
      <c r="C84" s="123" t="s">
        <v>63</v>
      </c>
      <c r="D84" s="125" t="s">
        <v>64</v>
      </c>
      <c r="E84" s="123" t="s">
        <v>318</v>
      </c>
      <c r="G84" s="959"/>
      <c r="H84" s="959"/>
      <c r="I84" s="1032"/>
    </row>
    <row r="85" spans="2:9" ht="13.15" customHeight="1" thickBot="1" x14ac:dyDescent="0.3">
      <c r="B85" s="126" t="s">
        <v>67</v>
      </c>
      <c r="C85" s="119" t="str">
        <f>'7 Calculation Check'!Z14</f>
        <v>Cement?</v>
      </c>
      <c r="D85" s="127" t="str">
        <f>'7 Calculation Check'!AA14</f>
        <v>Cement?</v>
      </c>
      <c r="E85" s="664" t="str">
        <f>'7 Calculation Check'!AB14</f>
        <v>Cement?</v>
      </c>
      <c r="I85" s="116"/>
    </row>
    <row r="86" spans="2:9" ht="13.15" customHeight="1" thickBot="1" x14ac:dyDescent="0.3">
      <c r="B86" s="128" t="s">
        <v>68</v>
      </c>
      <c r="C86" s="665" t="str">
        <f>'7 Calculation Check'!Z15</f>
        <v>-</v>
      </c>
      <c r="D86" s="129" t="str">
        <f>'7 Calculation Check'!AA15</f>
        <v>-</v>
      </c>
      <c r="E86" s="665" t="str">
        <f>'7 Calculation Check'!AB15</f>
        <v>-</v>
      </c>
      <c r="G86" s="940" t="s">
        <v>478</v>
      </c>
      <c r="H86" s="941"/>
      <c r="I86" s="942"/>
    </row>
    <row r="87" spans="2:9" ht="13.15" customHeight="1" x14ac:dyDescent="0.25">
      <c r="B87" s="128" t="s">
        <v>69</v>
      </c>
      <c r="C87" s="665" t="str">
        <f>'7 Calculation Check'!Z16</f>
        <v>-</v>
      </c>
      <c r="D87" s="129" t="str">
        <f>'7 Calculation Check'!AA16</f>
        <v>-</v>
      </c>
      <c r="E87" s="665" t="str">
        <f>'7 Calculation Check'!AB16</f>
        <v>-</v>
      </c>
      <c r="G87" s="130" t="s">
        <v>446</v>
      </c>
      <c r="H87" s="131" t="s">
        <v>170</v>
      </c>
      <c r="I87" s="131" t="s">
        <v>171</v>
      </c>
    </row>
    <row r="88" spans="2:9" ht="13.15" customHeight="1" x14ac:dyDescent="0.25">
      <c r="B88" s="128" t="s">
        <v>206</v>
      </c>
      <c r="C88" s="665" t="str">
        <f>'7 Calculation Check'!Z17</f>
        <v>-</v>
      </c>
      <c r="D88" s="129" t="str">
        <f>'7 Calculation Check'!AA17</f>
        <v>-</v>
      </c>
      <c r="E88" s="665" t="str">
        <f>'7 Calculation Check'!AB17</f>
        <v>-</v>
      </c>
      <c r="G88" s="1026" t="str">
        <f>'7 Calculation Check'!Y23</f>
        <v>Municipal</v>
      </c>
      <c r="H88" s="998" t="str">
        <f>'7 Calculation Check'!Z23</f>
        <v>Source Name?</v>
      </c>
      <c r="I88" s="1000" t="str">
        <f>'7 Calculation Check'!AA23</f>
        <v>Not Applicable</v>
      </c>
    </row>
    <row r="89" spans="2:9" ht="15" customHeight="1" thickBot="1" x14ac:dyDescent="0.3">
      <c r="B89" s="132" t="s">
        <v>208</v>
      </c>
      <c r="C89" s="666" t="str">
        <f>'7 Calculation Check'!Z18</f>
        <v>-</v>
      </c>
      <c r="D89" s="133" t="str">
        <f>'7 Calculation Check'!AA18</f>
        <v>-</v>
      </c>
      <c r="E89" s="666" t="str">
        <f>'7 Calculation Check'!AB18</f>
        <v>-</v>
      </c>
      <c r="G89" s="1027"/>
      <c r="H89" s="999"/>
      <c r="I89" s="1001"/>
    </row>
    <row r="90" spans="2:9" ht="15.75" thickBot="1" x14ac:dyDescent="0.3">
      <c r="B90" s="134"/>
      <c r="C90" s="135"/>
      <c r="D90" s="135"/>
      <c r="E90" s="135"/>
      <c r="F90" s="135"/>
      <c r="G90" s="135"/>
      <c r="H90" s="135"/>
      <c r="I90" s="136"/>
    </row>
    <row r="91" spans="2:9" ht="15.75" thickBot="1" x14ac:dyDescent="0.3">
      <c r="B91" s="111"/>
      <c r="C91" s="112"/>
      <c r="D91" s="112"/>
      <c r="E91" s="137"/>
      <c r="F91" s="137"/>
      <c r="G91" s="137"/>
      <c r="H91" s="137"/>
      <c r="I91" s="138"/>
    </row>
    <row r="92" spans="2:9" ht="15.75" thickBot="1" x14ac:dyDescent="0.3">
      <c r="B92" s="114"/>
      <c r="C92" s="115"/>
      <c r="D92" s="115"/>
      <c r="F92" s="849" t="s">
        <v>78</v>
      </c>
      <c r="G92" s="850"/>
      <c r="H92" s="850"/>
      <c r="I92" s="852"/>
    </row>
    <row r="93" spans="2:9" x14ac:dyDescent="0.25">
      <c r="B93" s="114"/>
      <c r="C93" s="115"/>
      <c r="D93" s="115"/>
      <c r="F93" s="885" t="s">
        <v>79</v>
      </c>
      <c r="G93" s="1015" t="s">
        <v>64</v>
      </c>
      <c r="H93" s="887" t="s">
        <v>338</v>
      </c>
      <c r="I93" s="889" t="s">
        <v>339</v>
      </c>
    </row>
    <row r="94" spans="2:9" ht="15.75" thickBot="1" x14ac:dyDescent="0.3">
      <c r="B94" s="114"/>
      <c r="C94" s="115"/>
      <c r="D94" s="115"/>
      <c r="F94" s="886"/>
      <c r="G94" s="1016"/>
      <c r="H94" s="888"/>
      <c r="I94" s="890"/>
    </row>
    <row r="95" spans="2:9" x14ac:dyDescent="0.25">
      <c r="B95" s="114"/>
      <c r="C95" s="115"/>
      <c r="D95" s="115"/>
      <c r="F95" s="668" t="s">
        <v>158</v>
      </c>
      <c r="G95" s="664" t="str">
        <f>IF('2 Aggregate System'!B13=0,"-",'2 Aggregate System'!B13)</f>
        <v>-</v>
      </c>
      <c r="H95" s="672" t="str">
        <f>IF('4 Mix Design'!D14=0,"-",ROUND('4 Mix Design'!D14,0))</f>
        <v>-</v>
      </c>
      <c r="I95" s="139" t="str">
        <f>'7 Calculation Check'!M21</f>
        <v>-</v>
      </c>
    </row>
    <row r="96" spans="2:9" x14ac:dyDescent="0.25">
      <c r="B96" s="114"/>
      <c r="C96" s="115"/>
      <c r="D96" s="115"/>
      <c r="F96" s="669" t="s">
        <v>159</v>
      </c>
      <c r="G96" s="665" t="str">
        <f>IF('2 Aggregate System'!B14=0,"-",'2 Aggregate System'!B14)</f>
        <v>-</v>
      </c>
      <c r="H96" s="673" t="str">
        <f>IF('4 Mix Design'!D15=0,"-",ROUND('4 Mix Design'!D15,0))</f>
        <v>-</v>
      </c>
      <c r="I96" s="140" t="str">
        <f>'7 Calculation Check'!M22</f>
        <v>-</v>
      </c>
    </row>
    <row r="97" spans="2:9" x14ac:dyDescent="0.25">
      <c r="B97" s="114"/>
      <c r="C97" s="115"/>
      <c r="D97" s="115"/>
      <c r="F97" s="669" t="s">
        <v>176</v>
      </c>
      <c r="G97" s="665" t="str">
        <f>IF('2 Aggregate System'!B15=0,"-",'2 Aggregate System'!B15)</f>
        <v>-</v>
      </c>
      <c r="H97" s="673" t="str">
        <f>IF('4 Mix Design'!D16=0,"-",ROUND('4 Mix Design'!D16,0))</f>
        <v>-</v>
      </c>
      <c r="I97" s="140" t="str">
        <f>'7 Calculation Check'!M23</f>
        <v>-</v>
      </c>
    </row>
    <row r="98" spans="2:9" x14ac:dyDescent="0.25">
      <c r="B98" s="114"/>
      <c r="C98" s="115"/>
      <c r="D98" s="115"/>
      <c r="F98" s="669" t="s">
        <v>177</v>
      </c>
      <c r="G98" s="665" t="str">
        <f>IF('2 Aggregate System'!B16=0,"-",'2 Aggregate System'!B16)</f>
        <v>-</v>
      </c>
      <c r="H98" s="673" t="str">
        <f>IF('4 Mix Design'!D17=0,"-",ROUND('4 Mix Design'!D17,0))</f>
        <v>-</v>
      </c>
      <c r="I98" s="140" t="str">
        <f>'7 Calculation Check'!M24</f>
        <v>-</v>
      </c>
    </row>
    <row r="99" spans="2:9" ht="15.75" thickBot="1" x14ac:dyDescent="0.3">
      <c r="B99" s="114"/>
      <c r="C99" s="115"/>
      <c r="D99" s="115"/>
      <c r="F99" s="670" t="s">
        <v>178</v>
      </c>
      <c r="G99" s="666" t="str">
        <f>IF('2 Aggregate System'!B17=0,"-",'2 Aggregate System'!B17)</f>
        <v>-</v>
      </c>
      <c r="H99" s="674" t="str">
        <f>IF('4 Mix Design'!D18=0,"-",ROUND('4 Mix Design'!D18,0))</f>
        <v>-</v>
      </c>
      <c r="I99" s="143" t="str">
        <f>'7 Calculation Check'!M25</f>
        <v>-</v>
      </c>
    </row>
    <row r="100" spans="2:9" x14ac:dyDescent="0.25">
      <c r="B100" s="114"/>
      <c r="C100" s="115"/>
      <c r="D100" s="115"/>
      <c r="F100" s="668" t="s">
        <v>67</v>
      </c>
      <c r="G100" s="119" t="str">
        <f>_xlfn.CONCAT(C85,"-",D85)</f>
        <v>Cement?-Cement?</v>
      </c>
      <c r="H100" s="675" t="str">
        <f>IF('7 Calculation Check'!K26=0,"-",ROUND('7 Calculation Check'!K26,0))</f>
        <v>-</v>
      </c>
      <c r="I100" s="139" t="str">
        <f>'7 Calculation Check'!M26</f>
        <v>-</v>
      </c>
    </row>
    <row r="101" spans="2:9" x14ac:dyDescent="0.25">
      <c r="B101" s="114"/>
      <c r="C101" s="115"/>
      <c r="D101" s="115"/>
      <c r="F101" s="669" t="s">
        <v>253</v>
      </c>
      <c r="G101" s="665" t="str">
        <f t="shared" ref="G101:G104" si="0">_xlfn.CONCAT(C86,"-",D86)</f>
        <v>---</v>
      </c>
      <c r="H101" s="675" t="str">
        <f>IF('7 Calculation Check'!K27="-","-",ROUND('7 Calculation Check'!K27,0))</f>
        <v>-</v>
      </c>
      <c r="I101" s="140" t="str">
        <f>'7 Calculation Check'!M27</f>
        <v>-</v>
      </c>
    </row>
    <row r="102" spans="2:9" x14ac:dyDescent="0.25">
      <c r="B102" s="114"/>
      <c r="C102" s="115"/>
      <c r="D102" s="115"/>
      <c r="F102" s="669" t="s">
        <v>72</v>
      </c>
      <c r="G102" s="665" t="str">
        <f t="shared" si="0"/>
        <v>---</v>
      </c>
      <c r="H102" s="675" t="str">
        <f>IF('7 Calculation Check'!K28="-","-",ROUND('7 Calculation Check'!K28,0))</f>
        <v>-</v>
      </c>
      <c r="I102" s="140" t="str">
        <f>'7 Calculation Check'!M28</f>
        <v>-</v>
      </c>
    </row>
    <row r="103" spans="2:9" x14ac:dyDescent="0.25">
      <c r="B103" s="114"/>
      <c r="C103" s="115"/>
      <c r="D103" s="115"/>
      <c r="F103" s="669" t="s">
        <v>206</v>
      </c>
      <c r="G103" s="665" t="str">
        <f t="shared" si="0"/>
        <v>---</v>
      </c>
      <c r="H103" s="675" t="str">
        <f>IF('7 Calculation Check'!K29="-","-",ROUND('7 Calculation Check'!K29,0))</f>
        <v>-</v>
      </c>
      <c r="I103" s="140" t="str">
        <f>'7 Calculation Check'!M29</f>
        <v>-</v>
      </c>
    </row>
    <row r="104" spans="2:9" ht="13.15" customHeight="1" x14ac:dyDescent="0.25">
      <c r="B104" s="114"/>
      <c r="C104" s="115"/>
      <c r="D104" s="115"/>
      <c r="F104" s="671" t="s">
        <v>208</v>
      </c>
      <c r="G104" s="665" t="str">
        <f t="shared" si="0"/>
        <v>---</v>
      </c>
      <c r="H104" s="675" t="str">
        <f>IF('7 Calculation Check'!K30="-","-",ROUND('7 Calculation Check'!K30,0))</f>
        <v>-</v>
      </c>
      <c r="I104" s="140" t="str">
        <f>'7 Calculation Check'!M30</f>
        <v>-</v>
      </c>
    </row>
    <row r="105" spans="2:9" ht="15.75" thickBot="1" x14ac:dyDescent="0.3">
      <c r="B105" s="114"/>
      <c r="C105" s="115"/>
      <c r="D105" s="115"/>
      <c r="E105" s="115"/>
      <c r="F105" s="670" t="s">
        <v>75</v>
      </c>
      <c r="G105" s="605" t="str">
        <f>H88</f>
        <v>Source Name?</v>
      </c>
      <c r="H105" s="678" t="str">
        <f>IF('7 Calculation Check'!$J$40=0,"-",ROUND('7 Calculation Check'!$J$40,0))</f>
        <v>-</v>
      </c>
      <c r="I105" s="141" t="str">
        <f>'7 Calculation Check'!M31</f>
        <v>CM ERROR</v>
      </c>
    </row>
    <row r="106" spans="2:9" ht="15.75" thickBot="1" x14ac:dyDescent="0.3">
      <c r="B106" s="124"/>
      <c r="F106" s="677"/>
      <c r="G106" s="765" t="s">
        <v>362</v>
      </c>
      <c r="H106" s="144" t="str">
        <f>IF('7 Calculation Check'!$J$32=0,"-",'7 Calculation Check'!$J$32)</f>
        <v>-</v>
      </c>
      <c r="I106" s="141" t="str">
        <f>'7 Calculation Check'!M32</f>
        <v>AIR ?</v>
      </c>
    </row>
    <row r="107" spans="2:9" ht="13.15" customHeight="1" thickBot="1" x14ac:dyDescent="0.3">
      <c r="B107" s="124"/>
      <c r="G107" s="1030" t="s">
        <v>340</v>
      </c>
      <c r="H107" s="1031"/>
      <c r="I107" s="144" t="str">
        <f>IF(OR('4 Mix Design'!P12&lt;&gt;27.2,'Optimize Tool'!P14&lt;&gt;27.2),"PLS USE 27.2",IF(OR(SUM(I95:I105,I106)&lt;=27.15,SUM(I95:I105,I106)&gt;=27.25),"VOL. ERROR",SUM(I95:I105,I106)))</f>
        <v>VOL. ERROR</v>
      </c>
    </row>
    <row r="108" spans="2:9" ht="13.15" customHeight="1" thickBot="1" x14ac:dyDescent="0.3">
      <c r="B108" s="849" t="s">
        <v>53</v>
      </c>
      <c r="C108" s="850"/>
      <c r="D108" s="851"/>
      <c r="E108" s="852"/>
      <c r="G108" s="847" t="s">
        <v>330</v>
      </c>
      <c r="H108" s="848"/>
      <c r="I108" s="498">
        <f>'7 Calculation Check'!E25</f>
        <v>0</v>
      </c>
    </row>
    <row r="109" spans="2:9" ht="15.75" thickBot="1" x14ac:dyDescent="0.3">
      <c r="B109" s="853" t="s">
        <v>54</v>
      </c>
      <c r="C109" s="855" t="s">
        <v>55</v>
      </c>
      <c r="D109" s="1017" t="s">
        <v>56</v>
      </c>
      <c r="E109" s="1019" t="s">
        <v>49</v>
      </c>
      <c r="G109" s="1011" t="s">
        <v>363</v>
      </c>
      <c r="H109" s="1012"/>
      <c r="I109" s="716" t="str">
        <f>IFERROR('3 Paste Quality'!$B$46,"-")</f>
        <v/>
      </c>
    </row>
    <row r="110" spans="2:9" ht="15.75" thickBot="1" x14ac:dyDescent="0.3">
      <c r="B110" s="854"/>
      <c r="C110" s="856"/>
      <c r="D110" s="1018"/>
      <c r="E110" s="1020"/>
      <c r="I110" s="116"/>
    </row>
    <row r="111" spans="2:9" ht="15.75" thickBot="1" x14ac:dyDescent="0.3">
      <c r="B111" s="705" t="s">
        <v>33</v>
      </c>
      <c r="C111" s="706">
        <v>0</v>
      </c>
      <c r="D111" s="707" t="str">
        <f>'7 Calculation Check'!L5</f>
        <v>-</v>
      </c>
      <c r="E111" s="708" t="str">
        <f>'7 Calculation Check'!M5</f>
        <v>-</v>
      </c>
      <c r="G111" s="949" t="s">
        <v>456</v>
      </c>
      <c r="H111" s="941"/>
      <c r="I111" s="942"/>
    </row>
    <row r="112" spans="2:9" ht="15.75" thickBot="1" x14ac:dyDescent="0.3">
      <c r="B112" s="705" t="s">
        <v>34</v>
      </c>
      <c r="C112" s="709" t="s">
        <v>57</v>
      </c>
      <c r="D112" s="710" t="str">
        <f>'7 Calculation Check'!L6</f>
        <v>-</v>
      </c>
      <c r="E112" s="711" t="str">
        <f>'7 Calculation Check'!M6</f>
        <v>-</v>
      </c>
      <c r="G112" s="676" t="s">
        <v>495</v>
      </c>
      <c r="H112" s="1021" t="str">
        <f>IF(AND(B39=0,I39="PASS"),"HES Mix ID?",IF(B39=0,"-",B39))</f>
        <v>-</v>
      </c>
      <c r="I112" s="1022"/>
    </row>
    <row r="113" spans="2:9" ht="15.75" thickBot="1" x14ac:dyDescent="0.3">
      <c r="B113" s="705" t="s">
        <v>35</v>
      </c>
      <c r="C113" s="709" t="s">
        <v>58</v>
      </c>
      <c r="D113" s="710" t="str">
        <f>'7 Calculation Check'!L7</f>
        <v>-</v>
      </c>
      <c r="E113" s="711" t="str">
        <f>'7 Calculation Check'!M7</f>
        <v>-</v>
      </c>
      <c r="G113" s="117" t="s">
        <v>497</v>
      </c>
      <c r="H113" s="857" t="str">
        <f>IF(I39="-","-",IF(AND(OR('Optimize Tool'!Q11=TRUE,'Optimize Tool'!R11=TRUE),D39=0),"HES MRS #?",D39))</f>
        <v>-</v>
      </c>
      <c r="I113" s="858"/>
    </row>
    <row r="114" spans="2:9" ht="15.75" thickBot="1" x14ac:dyDescent="0.3">
      <c r="B114" s="705" t="s">
        <v>36</v>
      </c>
      <c r="C114" s="709" t="s">
        <v>59</v>
      </c>
      <c r="D114" s="710" t="str">
        <f>'7 Calculation Check'!L8</f>
        <v>-</v>
      </c>
      <c r="E114" s="711" t="str">
        <f>'7 Calculation Check'!M8</f>
        <v>-</v>
      </c>
      <c r="G114" s="117" t="s">
        <v>457</v>
      </c>
      <c r="H114" s="1021" t="str">
        <f>IF(AND('Optimize Tool'!Q11=FALSE,'Optimize Tool'!R11=FALSE,OR(B39&gt;0,D39&gt;0)),"Select HES Modification",IF('Optimize Tool'!Q11=TRUE,"Type III Cement",IF(AND('Optimize Tool'!R11=TRUE,'1 Certification'!G39=0),"Add. Cement?",IF(H117="FAIL","FAIL",IF(AND('Optimize Tool'!R11=TRUE,G39&gt;0),_xlfn.CONCAT("Additional Cement: ",'1 Certification'!G39," lbs./cy"),"-")))))</f>
        <v>-</v>
      </c>
      <c r="I114" s="1022"/>
    </row>
    <row r="115" spans="2:9" ht="15.75" thickBot="1" x14ac:dyDescent="0.3">
      <c r="B115" s="705" t="s">
        <v>37</v>
      </c>
      <c r="C115" s="709" t="s">
        <v>60</v>
      </c>
      <c r="D115" s="710" t="str">
        <f>'7 Calculation Check'!L9</f>
        <v>-</v>
      </c>
      <c r="E115" s="711" t="str">
        <f>'7 Calculation Check'!M9</f>
        <v>-</v>
      </c>
      <c r="G115" s="117" t="s">
        <v>204</v>
      </c>
      <c r="H115" s="857" t="str">
        <f>IF(H39=0,I39,H39)</f>
        <v>-</v>
      </c>
      <c r="I115" s="858"/>
    </row>
    <row r="116" spans="2:9" ht="15.75" thickBot="1" x14ac:dyDescent="0.3">
      <c r="B116" s="705" t="s">
        <v>38</v>
      </c>
      <c r="C116" s="709" t="s">
        <v>60</v>
      </c>
      <c r="D116" s="710" t="str">
        <f>'7 Calculation Check'!L10</f>
        <v>-</v>
      </c>
      <c r="E116" s="711" t="str">
        <f>'7 Calculation Check'!M10</f>
        <v>-</v>
      </c>
      <c r="G116" s="1023" t="s">
        <v>592</v>
      </c>
      <c r="H116" s="1001"/>
      <c r="I116" s="696" t="str">
        <f>IF(G39=0,"-",IF(AND(I39="-",'Optimize Tool'!R11=FALSE),"-",IF(I39&lt;&gt;"PASS","FAIL",G39+H100)))</f>
        <v>-</v>
      </c>
    </row>
    <row r="117" spans="2:9" ht="15.75" thickBot="1" x14ac:dyDescent="0.3">
      <c r="B117" s="705" t="s">
        <v>39</v>
      </c>
      <c r="C117" s="709" t="s">
        <v>60</v>
      </c>
      <c r="D117" s="710" t="str">
        <f>'7 Calculation Check'!L11</f>
        <v>-</v>
      </c>
      <c r="E117" s="711" t="str">
        <f>'7 Calculation Check'!M11</f>
        <v>-</v>
      </c>
      <c r="G117" s="500" t="s">
        <v>448</v>
      </c>
      <c r="H117" s="1024" t="str">
        <f>I39</f>
        <v>-</v>
      </c>
      <c r="I117" s="1025"/>
    </row>
    <row r="118" spans="2:9" ht="15.75" thickBot="1" x14ac:dyDescent="0.3">
      <c r="B118" s="705" t="s">
        <v>40</v>
      </c>
      <c r="C118" s="709" t="s">
        <v>61</v>
      </c>
      <c r="D118" s="710" t="str">
        <f>'7 Calculation Check'!L12</f>
        <v>-</v>
      </c>
      <c r="E118" s="711" t="str">
        <f>'7 Calculation Check'!M12</f>
        <v>-</v>
      </c>
      <c r="I118" s="116"/>
    </row>
    <row r="119" spans="2:9" ht="15.75" thickBot="1" x14ac:dyDescent="0.3">
      <c r="B119" s="705" t="s">
        <v>41</v>
      </c>
      <c r="C119" s="709" t="s">
        <v>61</v>
      </c>
      <c r="D119" s="710" t="str">
        <f>'7 Calculation Check'!L13</f>
        <v>-</v>
      </c>
      <c r="E119" s="711" t="str">
        <f>'7 Calculation Check'!M13</f>
        <v>-</v>
      </c>
      <c r="G119" s="873" t="s">
        <v>476</v>
      </c>
      <c r="H119" s="874"/>
      <c r="I119" s="875"/>
    </row>
    <row r="120" spans="2:9" ht="15.75" thickBot="1" x14ac:dyDescent="0.3">
      <c r="B120" s="705" t="s">
        <v>42</v>
      </c>
      <c r="C120" s="709" t="s">
        <v>60</v>
      </c>
      <c r="D120" s="710" t="str">
        <f>'7 Calculation Check'!L14</f>
        <v>-</v>
      </c>
      <c r="E120" s="711" t="str">
        <f>'7 Calculation Check'!M14</f>
        <v>-</v>
      </c>
      <c r="G120" s="117" t="s">
        <v>82</v>
      </c>
      <c r="H120" s="701" t="str">
        <f>'7 Calculation Check'!L50</f>
        <v>CM ERROR</v>
      </c>
      <c r="I120" s="698"/>
    </row>
    <row r="121" spans="2:9" s="142" customFormat="1" ht="15.75" thickBot="1" x14ac:dyDescent="0.3">
      <c r="B121" s="705" t="s">
        <v>43</v>
      </c>
      <c r="C121" s="709" t="s">
        <v>60</v>
      </c>
      <c r="D121" s="710" t="str">
        <f>'7 Calculation Check'!L15</f>
        <v>-</v>
      </c>
      <c r="E121" s="711" t="str">
        <f>'7 Calculation Check'!M15</f>
        <v>-</v>
      </c>
      <c r="F121"/>
      <c r="G121" s="697" t="s">
        <v>366</v>
      </c>
      <c r="H121" s="702" t="str">
        <f>IF(OR('7 Calculation Check'!D20="Class II",'7 Calculation Check'!D20="Class III"),"Not Applicable",IF(E127="Slip-form",IF('3 Paste Quality'!B35="","Result?",'3 Paste Quality'!B35),IF(E127="Select Placement Method","ERROR","Not Applicable")))</f>
        <v>Result?</v>
      </c>
      <c r="I121" s="699"/>
    </row>
    <row r="122" spans="2:9" s="142" customFormat="1" ht="15.75" thickBot="1" x14ac:dyDescent="0.3">
      <c r="B122" s="705" t="s">
        <v>44</v>
      </c>
      <c r="C122" s="709" t="s">
        <v>62</v>
      </c>
      <c r="D122" s="710" t="str">
        <f>'7 Calculation Check'!L16</f>
        <v>-</v>
      </c>
      <c r="E122" s="711" t="str">
        <f>'7 Calculation Check'!M16</f>
        <v>-</v>
      </c>
      <c r="G122" s="697" t="s">
        <v>367</v>
      </c>
      <c r="H122" s="703" t="str">
        <f>IF(OR('7 Calculation Check'!D20="Class II",'7 Calculation Check'!D20="Class III"),"Not Applicable",IF('3 Paste Quality'!B34=0,"SAM #?",'3 Paste Quality'!B34))</f>
        <v>SAM #?</v>
      </c>
      <c r="I122" s="700"/>
    </row>
    <row r="123" spans="2:9" s="142" customFormat="1" ht="15.75" thickBot="1" x14ac:dyDescent="0.3">
      <c r="B123" s="712" t="s">
        <v>45</v>
      </c>
      <c r="C123" s="713" t="s">
        <v>173</v>
      </c>
      <c r="D123" s="714" t="str">
        <f>'7 Calculation Check'!L17</f>
        <v>-</v>
      </c>
      <c r="E123" s="715" t="str">
        <f>'7 Calculation Check'!M17</f>
        <v>-</v>
      </c>
      <c r="I123" s="722"/>
    </row>
    <row r="124" spans="2:9" ht="15.75" thickBot="1" x14ac:dyDescent="0.3">
      <c r="B124" s="134"/>
      <c r="C124" s="145"/>
      <c r="D124" s="146"/>
      <c r="E124" s="147"/>
      <c r="F124" s="148"/>
      <c r="G124" s="497"/>
      <c r="H124" s="497"/>
      <c r="I124" s="149"/>
    </row>
    <row r="125" spans="2:9" ht="15.75" thickBot="1" x14ac:dyDescent="0.3">
      <c r="B125" s="114"/>
      <c r="C125" s="115"/>
      <c r="D125" s="115"/>
      <c r="I125" s="150"/>
    </row>
    <row r="126" spans="2:9" ht="13.15" customHeight="1" thickBot="1" x14ac:dyDescent="0.3">
      <c r="B126" s="114"/>
      <c r="C126" s="151" t="s">
        <v>24</v>
      </c>
      <c r="D126" s="152" t="s">
        <v>46</v>
      </c>
      <c r="E126" s="151" t="s">
        <v>204</v>
      </c>
      <c r="F126" s="904" t="s">
        <v>48</v>
      </c>
      <c r="G126" s="905"/>
      <c r="H126" s="151" t="s">
        <v>49</v>
      </c>
      <c r="I126" s="150"/>
    </row>
    <row r="127" spans="2:9" ht="15" customHeight="1" x14ac:dyDescent="0.25">
      <c r="B127" s="114"/>
      <c r="C127" s="153" t="s">
        <v>29</v>
      </c>
      <c r="D127" s="154" t="s">
        <v>50</v>
      </c>
      <c r="E127" s="910" t="str">
        <f>IF('4 Mix Design'!E54=0,"Select Placement Method",'4 Mix Design'!E54)</f>
        <v>Slip-form</v>
      </c>
      <c r="F127" s="906">
        <f>'7 Calculation Check'!K58</f>
        <v>0</v>
      </c>
      <c r="G127" s="907"/>
      <c r="H127" s="679" t="str">
        <f>'7 Calculation Check'!L58</f>
        <v>Fail</v>
      </c>
      <c r="I127" s="150"/>
    </row>
    <row r="128" spans="2:9" ht="14.45" customHeight="1" thickBot="1" x14ac:dyDescent="0.3">
      <c r="B128" s="155"/>
      <c r="C128" s="663" t="s">
        <v>28</v>
      </c>
      <c r="D128" s="156" t="s">
        <v>51</v>
      </c>
      <c r="E128" s="911"/>
      <c r="F128" s="908">
        <f>'7 Calculation Check'!J56</f>
        <v>0</v>
      </c>
      <c r="G128" s="909"/>
      <c r="H128" s="680" t="str">
        <f>'7 Calculation Check'!K56</f>
        <v>Fail</v>
      </c>
      <c r="I128" s="157"/>
    </row>
    <row r="129" spans="2:9" ht="15.75" x14ac:dyDescent="0.25">
      <c r="B129" s="158"/>
      <c r="C129" s="898" t="s">
        <v>279</v>
      </c>
      <c r="D129" s="130" t="s">
        <v>281</v>
      </c>
      <c r="E129" s="664" t="s">
        <v>280</v>
      </c>
      <c r="F129" s="900" t="s">
        <v>278</v>
      </c>
      <c r="G129" s="901"/>
      <c r="H129" s="79"/>
      <c r="I129" s="150"/>
    </row>
    <row r="130" spans="2:9" ht="16.5" thickBot="1" x14ac:dyDescent="0.3">
      <c r="B130" s="114"/>
      <c r="C130" s="899"/>
      <c r="D130" s="663" t="s">
        <v>292</v>
      </c>
      <c r="E130" s="159" t="e">
        <f>'7 Calculation Check'!$J$55</f>
        <v>#VALUE!</v>
      </c>
      <c r="F130" s="902" t="e">
        <f>'7 Calculation Check'!$K$55</f>
        <v>#VALUE!</v>
      </c>
      <c r="G130" s="903"/>
      <c r="H130" s="160"/>
      <c r="I130" s="150"/>
    </row>
    <row r="131" spans="2:9" ht="15.75" thickBot="1" x14ac:dyDescent="0.3">
      <c r="B131" s="161"/>
      <c r="I131" s="162"/>
    </row>
    <row r="132" spans="2:9" x14ac:dyDescent="0.25">
      <c r="B132" s="163"/>
      <c r="C132" s="164"/>
      <c r="D132" s="164"/>
      <c r="E132" s="164"/>
      <c r="F132" s="164"/>
      <c r="G132" s="164"/>
      <c r="H132" s="164"/>
      <c r="I132" s="165"/>
    </row>
    <row r="133" spans="2:9" ht="15.75" thickBot="1" x14ac:dyDescent="0.3">
      <c r="B133" s="717" t="s">
        <v>486</v>
      </c>
      <c r="F133" s="166"/>
      <c r="H133" s="166"/>
      <c r="I133" s="167"/>
    </row>
    <row r="134" spans="2:9" x14ac:dyDescent="0.25">
      <c r="B134" s="861"/>
      <c r="C134" s="862"/>
      <c r="D134" s="862"/>
      <c r="E134" s="863"/>
      <c r="F134" s="893" t="s">
        <v>443</v>
      </c>
      <c r="G134" s="896"/>
      <c r="H134" s="896"/>
      <c r="I134" s="167"/>
    </row>
    <row r="135" spans="2:9" ht="14.45" customHeight="1" x14ac:dyDescent="0.25">
      <c r="B135" s="864"/>
      <c r="C135" s="865"/>
      <c r="D135" s="865"/>
      <c r="E135" s="866"/>
      <c r="F135" s="893"/>
      <c r="G135" s="897"/>
      <c r="H135" s="897"/>
      <c r="I135" s="661"/>
    </row>
    <row r="136" spans="2:9" ht="15" customHeight="1" x14ac:dyDescent="0.25">
      <c r="B136" s="864"/>
      <c r="C136" s="865"/>
      <c r="D136" s="865"/>
      <c r="E136" s="866"/>
      <c r="G136" s="894" t="s">
        <v>557</v>
      </c>
      <c r="H136" s="894"/>
      <c r="I136" s="891" t="s">
        <v>13</v>
      </c>
    </row>
    <row r="137" spans="2:9" ht="15.75" thickBot="1" x14ac:dyDescent="0.3">
      <c r="B137" s="867"/>
      <c r="C137" s="868"/>
      <c r="D137" s="868"/>
      <c r="E137" s="869"/>
      <c r="G137" s="895"/>
      <c r="H137" s="895"/>
      <c r="I137" s="892"/>
    </row>
    <row r="138" spans="2:9" ht="15.75" thickBot="1" x14ac:dyDescent="0.3">
      <c r="B138" s="134"/>
      <c r="C138" s="135"/>
      <c r="D138" s="135"/>
      <c r="E138" s="135"/>
      <c r="F138" s="859" t="s">
        <v>331</v>
      </c>
      <c r="G138" s="859"/>
      <c r="H138" s="859"/>
      <c r="I138" s="860"/>
    </row>
  </sheetData>
  <sheetProtection algorithmName="SHA-512" hashValue="ahqctJDGGGmEZnHiNn0BglXOHEPqK+A6MBiZkzIYiNfpve/4kxu8eQvuN7b2R3cXyWvB+T/X8RN5k9jLa1IcPg==" saltValue="pdR0gwHCp5D4TV3txmEj6A==" spinCount="100000" sheet="1" selectLockedCells="1"/>
  <mergeCells count="191">
    <mergeCell ref="D109:D110"/>
    <mergeCell ref="E109:E110"/>
    <mergeCell ref="F92:I92"/>
    <mergeCell ref="G111:I111"/>
    <mergeCell ref="H112:I112"/>
    <mergeCell ref="H114:I114"/>
    <mergeCell ref="G116:H116"/>
    <mergeCell ref="H117:I117"/>
    <mergeCell ref="B37:I37"/>
    <mergeCell ref="E47:G47"/>
    <mergeCell ref="G88:G89"/>
    <mergeCell ref="B38:C38"/>
    <mergeCell ref="G107:H107"/>
    <mergeCell ref="I83:I84"/>
    <mergeCell ref="B40:I40"/>
    <mergeCell ref="B41:I45"/>
    <mergeCell ref="B46:D46"/>
    <mergeCell ref="B48:D48"/>
    <mergeCell ref="E48:G48"/>
    <mergeCell ref="H48:I48"/>
    <mergeCell ref="B49:D49"/>
    <mergeCell ref="E49:G49"/>
    <mergeCell ref="H49:I49"/>
    <mergeCell ref="B50:E50"/>
    <mergeCell ref="G1:I1"/>
    <mergeCell ref="B1:F1"/>
    <mergeCell ref="B62:F62"/>
    <mergeCell ref="G62:I62"/>
    <mergeCell ref="G109:H109"/>
    <mergeCell ref="G81:G82"/>
    <mergeCell ref="H81:H82"/>
    <mergeCell ref="I81:I82"/>
    <mergeCell ref="B80:D80"/>
    <mergeCell ref="B19:E19"/>
    <mergeCell ref="F19:G19"/>
    <mergeCell ref="B20:I20"/>
    <mergeCell ref="F21:G21"/>
    <mergeCell ref="B22:D22"/>
    <mergeCell ref="F22:G22"/>
    <mergeCell ref="B24:C24"/>
    <mergeCell ref="B21:D21"/>
    <mergeCell ref="H21:I21"/>
    <mergeCell ref="H33:I33"/>
    <mergeCell ref="B34:G34"/>
    <mergeCell ref="G83:G84"/>
    <mergeCell ref="H83:H84"/>
    <mergeCell ref="B83:E83"/>
    <mergeCell ref="G93:G94"/>
    <mergeCell ref="B10:I10"/>
    <mergeCell ref="H11:I11"/>
    <mergeCell ref="H12:I12"/>
    <mergeCell ref="B5:D5"/>
    <mergeCell ref="B11:G11"/>
    <mergeCell ref="B12:G12"/>
    <mergeCell ref="H88:H89"/>
    <mergeCell ref="I88:I89"/>
    <mergeCell ref="B13:E13"/>
    <mergeCell ref="F13:G13"/>
    <mergeCell ref="E38:F38"/>
    <mergeCell ref="E39:F39"/>
    <mergeCell ref="B32:C32"/>
    <mergeCell ref="B27:C27"/>
    <mergeCell ref="B28:C28"/>
    <mergeCell ref="B29:C29"/>
    <mergeCell ref="B30:C30"/>
    <mergeCell ref="B31:C31"/>
    <mergeCell ref="B23:I23"/>
    <mergeCell ref="F51:G51"/>
    <mergeCell ref="B52:I52"/>
    <mergeCell ref="B39:C39"/>
    <mergeCell ref="H22:I22"/>
    <mergeCell ref="B33:G33"/>
    <mergeCell ref="B14:E14"/>
    <mergeCell ref="F14:G14"/>
    <mergeCell ref="B15:I15"/>
    <mergeCell ref="B17:G17"/>
    <mergeCell ref="H17:I17"/>
    <mergeCell ref="F18:G18"/>
    <mergeCell ref="B25:C25"/>
    <mergeCell ref="B26:C26"/>
    <mergeCell ref="B36:E36"/>
    <mergeCell ref="B35:E35"/>
    <mergeCell ref="F35:G35"/>
    <mergeCell ref="F36:G36"/>
    <mergeCell ref="H34:I34"/>
    <mergeCell ref="B18:E18"/>
    <mergeCell ref="B16:G16"/>
    <mergeCell ref="H16:I16"/>
    <mergeCell ref="D24:I24"/>
    <mergeCell ref="B3:I3"/>
    <mergeCell ref="F4:G4"/>
    <mergeCell ref="H4:I4"/>
    <mergeCell ref="B7:E7"/>
    <mergeCell ref="F7:I7"/>
    <mergeCell ref="B8:E8"/>
    <mergeCell ref="F8:I8"/>
    <mergeCell ref="B4:D4"/>
    <mergeCell ref="B9:E9"/>
    <mergeCell ref="F9:I9"/>
    <mergeCell ref="F5:G5"/>
    <mergeCell ref="H5:I5"/>
    <mergeCell ref="B6:E6"/>
    <mergeCell ref="F6:I6"/>
    <mergeCell ref="H59:I59"/>
    <mergeCell ref="B58:D58"/>
    <mergeCell ref="E58:G58"/>
    <mergeCell ref="H58:I58"/>
    <mergeCell ref="B59:D59"/>
    <mergeCell ref="E59:G59"/>
    <mergeCell ref="F50:G50"/>
    <mergeCell ref="B51:E51"/>
    <mergeCell ref="B53:I55"/>
    <mergeCell ref="B56:D56"/>
    <mergeCell ref="E56:G56"/>
    <mergeCell ref="H56:I56"/>
    <mergeCell ref="B57:D57"/>
    <mergeCell ref="E57:G57"/>
    <mergeCell ref="E46:G46"/>
    <mergeCell ref="B47:D47"/>
    <mergeCell ref="H57:I57"/>
    <mergeCell ref="G86:I86"/>
    <mergeCell ref="C77:D77"/>
    <mergeCell ref="C78:D78"/>
    <mergeCell ref="C79:D79"/>
    <mergeCell ref="B66:C66"/>
    <mergeCell ref="D66:E66"/>
    <mergeCell ref="B67:E67"/>
    <mergeCell ref="B68:E68"/>
    <mergeCell ref="B69:E69"/>
    <mergeCell ref="B70:E70"/>
    <mergeCell ref="B71:I71"/>
    <mergeCell ref="G73:I73"/>
    <mergeCell ref="H74:H76"/>
    <mergeCell ref="G74:G76"/>
    <mergeCell ref="I74:I76"/>
    <mergeCell ref="G79:G80"/>
    <mergeCell ref="H77:H78"/>
    <mergeCell ref="I77:I78"/>
    <mergeCell ref="H79:H80"/>
    <mergeCell ref="I79:I80"/>
    <mergeCell ref="F67:I67"/>
    <mergeCell ref="F68:I68"/>
    <mergeCell ref="F69:I69"/>
    <mergeCell ref="F70:I70"/>
    <mergeCell ref="G77:G78"/>
    <mergeCell ref="B65:C65"/>
    <mergeCell ref="D65:E65"/>
    <mergeCell ref="B73:E73"/>
    <mergeCell ref="C74:D74"/>
    <mergeCell ref="C75:D75"/>
    <mergeCell ref="C76:D76"/>
    <mergeCell ref="F65:G65"/>
    <mergeCell ref="H65:I65"/>
    <mergeCell ref="F66:G66"/>
    <mergeCell ref="H66:I66"/>
    <mergeCell ref="I136:I137"/>
    <mergeCell ref="H113:I113"/>
    <mergeCell ref="F134:F135"/>
    <mergeCell ref="G136:H137"/>
    <mergeCell ref="G134:H135"/>
    <mergeCell ref="C129:C130"/>
    <mergeCell ref="F129:G129"/>
    <mergeCell ref="F130:G130"/>
    <mergeCell ref="F126:G126"/>
    <mergeCell ref="F127:G127"/>
    <mergeCell ref="F128:G128"/>
    <mergeCell ref="E127:E128"/>
    <mergeCell ref="G108:H108"/>
    <mergeCell ref="B108:E108"/>
    <mergeCell ref="B109:B110"/>
    <mergeCell ref="C109:C110"/>
    <mergeCell ref="H115:I115"/>
    <mergeCell ref="F138:I138"/>
    <mergeCell ref="B134:E137"/>
    <mergeCell ref="D25:I25"/>
    <mergeCell ref="D26:I26"/>
    <mergeCell ref="D27:I27"/>
    <mergeCell ref="D28:I28"/>
    <mergeCell ref="D29:I29"/>
    <mergeCell ref="D30:I30"/>
    <mergeCell ref="D31:I31"/>
    <mergeCell ref="D32:I32"/>
    <mergeCell ref="G119:I119"/>
    <mergeCell ref="F60:G60"/>
    <mergeCell ref="B61:E61"/>
    <mergeCell ref="B60:E60"/>
    <mergeCell ref="F61:G61"/>
    <mergeCell ref="B64:I64"/>
    <mergeCell ref="F93:F94"/>
    <mergeCell ref="H93:H94"/>
    <mergeCell ref="I93:I94"/>
  </mergeCells>
  <conditionalFormatting sqref="H120">
    <cfRule type="cellIs" dxfId="170" priority="50" operator="lessThan">
      <formula>1.25</formula>
    </cfRule>
    <cfRule type="cellIs" dxfId="169" priority="51" operator="equal">
      <formula>"VOID CONT.?"</formula>
    </cfRule>
    <cfRule type="cellIs" dxfId="168" priority="63" operator="greaterThanOrEqual">
      <formula>1.25</formula>
    </cfRule>
  </conditionalFormatting>
  <conditionalFormatting sqref="E111:E123 F124">
    <cfRule type="cellIs" dxfId="167" priority="43" operator="equal">
      <formula>"AIR ?"</formula>
    </cfRule>
    <cfRule type="cellIs" dxfId="166" priority="44" operator="equal">
      <formula>"W/CM ERROR"</formula>
    </cfRule>
    <cfRule type="containsText" dxfId="165" priority="61" stopIfTrue="1" operator="containsText" text="Fail">
      <formula>NOT(ISERROR(SEARCH("Fail",E111)))</formula>
    </cfRule>
    <cfRule type="containsText" dxfId="164" priority="62" operator="containsText" text="Pass">
      <formula>NOT(ISERROR(SEARCH("Pass",E111)))</formula>
    </cfRule>
  </conditionalFormatting>
  <conditionalFormatting sqref="H127:H129">
    <cfRule type="containsText" dxfId="163" priority="59" stopIfTrue="1" operator="containsText" text="Fail">
      <formula>NOT(ISERROR(SEARCH("Fail",H127)))</formula>
    </cfRule>
    <cfRule type="containsText" dxfId="162" priority="60" operator="containsText" text="Pass">
      <formula>NOT(ISERROR(SEARCH("Pass",H127)))</formula>
    </cfRule>
  </conditionalFormatting>
  <conditionalFormatting sqref="H127:H129">
    <cfRule type="containsBlanks" priority="58" stopIfTrue="1">
      <formula>LEN(TRIM(H127))=0</formula>
    </cfRule>
  </conditionalFormatting>
  <conditionalFormatting sqref="F127:H128 F129 H129">
    <cfRule type="cellIs" dxfId="161" priority="57" operator="equal">
      <formula>"ERROR"</formula>
    </cfRule>
  </conditionalFormatting>
  <conditionalFormatting sqref="E127:E128 E130">
    <cfRule type="cellIs" dxfId="160" priority="56" operator="equal">
      <formula>"Select Placement Method"</formula>
    </cfRule>
  </conditionalFormatting>
  <conditionalFormatting sqref="D111:E123 E124:F124">
    <cfRule type="cellIs" dxfId="159" priority="49" operator="equal">
      <formula>"CM ERROR"</formula>
    </cfRule>
    <cfRule type="cellIs" dxfId="158" priority="55" operator="equal">
      <formula>"ERROR"</formula>
    </cfRule>
  </conditionalFormatting>
  <conditionalFormatting sqref="H121">
    <cfRule type="cellIs" dxfId="157" priority="52" operator="equal">
      <formula>"Not Applicable"</formula>
    </cfRule>
    <cfRule type="cellIs" dxfId="156" priority="53" stopIfTrue="1" operator="greaterThan">
      <formula>2</formula>
    </cfRule>
    <cfRule type="cellIs" dxfId="155" priority="54" operator="lessThanOrEqual">
      <formula>2</formula>
    </cfRule>
  </conditionalFormatting>
  <conditionalFormatting sqref="H122">
    <cfRule type="cellIs" dxfId="154" priority="47" operator="notEqual">
      <formula>"SAM #?"</formula>
    </cfRule>
    <cfRule type="cellIs" dxfId="153" priority="48" operator="equal">
      <formula>"SAM #?"</formula>
    </cfRule>
  </conditionalFormatting>
  <conditionalFormatting sqref="F130:G130">
    <cfRule type="cellIs" dxfId="152" priority="45" operator="notEqual">
      <formula>"Pass"</formula>
    </cfRule>
    <cfRule type="cellIs" dxfId="151" priority="46" operator="equal">
      <formula>"Pass"</formula>
    </cfRule>
  </conditionalFormatting>
  <conditionalFormatting sqref="I106">
    <cfRule type="cellIs" dxfId="150" priority="40" operator="equal">
      <formula>"AIR ?"</formula>
    </cfRule>
  </conditionalFormatting>
  <conditionalFormatting sqref="E75:E80">
    <cfRule type="cellIs" dxfId="149" priority="38" operator="equal">
      <formula>"Source Name?"</formula>
    </cfRule>
    <cfRule type="cellIs" dxfId="148" priority="39" operator="equal">
      <formula>"Test #?"</formula>
    </cfRule>
  </conditionalFormatting>
  <conditionalFormatting sqref="E85:E89">
    <cfRule type="cellIs" dxfId="147" priority="37" operator="equal">
      <formula>"Classification?"</formula>
    </cfRule>
  </conditionalFormatting>
  <conditionalFormatting sqref="D85:D89">
    <cfRule type="cellIs" dxfId="146" priority="36" operator="equal">
      <formula>"Source?"</formula>
    </cfRule>
  </conditionalFormatting>
  <conditionalFormatting sqref="C85:C89">
    <cfRule type="cellIs" dxfId="145" priority="35" operator="equal">
      <formula>"Manufacturer?"</formula>
    </cfRule>
  </conditionalFormatting>
  <conditionalFormatting sqref="H77:H84">
    <cfRule type="cellIs" dxfId="144" priority="34" operator="equal">
      <formula>"Type?"</formula>
    </cfRule>
  </conditionalFormatting>
  <conditionalFormatting sqref="G77:G84">
    <cfRule type="cellIs" dxfId="143" priority="33" operator="equal">
      <formula>"Name?"</formula>
    </cfRule>
  </conditionalFormatting>
  <conditionalFormatting sqref="I77:I84">
    <cfRule type="cellIs" dxfId="142" priority="32" operator="equal">
      <formula>"Dosage?"</formula>
    </cfRule>
  </conditionalFormatting>
  <conditionalFormatting sqref="C85:C89">
    <cfRule type="cellIs" dxfId="141" priority="31" operator="equal">
      <formula>"Cement?"</formula>
    </cfRule>
  </conditionalFormatting>
  <conditionalFormatting sqref="C75:D79">
    <cfRule type="cellIs" dxfId="140" priority="29" operator="equal">
      <formula>"Source ID?"</formula>
    </cfRule>
    <cfRule type="cellIs" dxfId="139" priority="30" operator="equal">
      <formula>"Source Name?"</formula>
    </cfRule>
  </conditionalFormatting>
  <conditionalFormatting sqref="D85:E85">
    <cfRule type="cellIs" dxfId="138" priority="28" operator="equal">
      <formula>"Cement?"</formula>
    </cfRule>
  </conditionalFormatting>
  <conditionalFormatting sqref="I100:I105">
    <cfRule type="cellIs" dxfId="137" priority="27" operator="equal">
      <formula>"CM ERROR"</formula>
    </cfRule>
  </conditionalFormatting>
  <conditionalFormatting sqref="I107">
    <cfRule type="cellIs" dxfId="136" priority="25" operator="equal">
      <formula>"VOL. ERROR"</formula>
    </cfRule>
    <cfRule type="cellIs" dxfId="135" priority="26" operator="equal">
      <formula>"PLS USE 27.2"</formula>
    </cfRule>
  </conditionalFormatting>
  <conditionalFormatting sqref="H88:H89">
    <cfRule type="cellIs" dxfId="134" priority="23" operator="equal">
      <formula>"Source Type?"</formula>
    </cfRule>
    <cfRule type="cellIs" dxfId="133" priority="24" operator="equal">
      <formula>"Source Name?"</formula>
    </cfRule>
  </conditionalFormatting>
  <conditionalFormatting sqref="G88:G89">
    <cfRule type="cellIs" dxfId="132" priority="22" operator="equal">
      <formula>"Source Type?"</formula>
    </cfRule>
  </conditionalFormatting>
  <conditionalFormatting sqref="I88:I89">
    <cfRule type="cellIs" dxfId="131" priority="21" operator="equal">
      <formula>"Test Number?"</formula>
    </cfRule>
  </conditionalFormatting>
  <conditionalFormatting sqref="I39">
    <cfRule type="cellIs" dxfId="130" priority="4" operator="equal">
      <formula>"Placement Method?"</formula>
    </cfRule>
    <cfRule type="cellIs" dxfId="129" priority="7" operator="equal">
      <formula>"Remove Add. Cement"</formula>
    </cfRule>
    <cfRule type="cellIs" dxfId="128" priority="8" operator="equal">
      <formula>"HES Modification?"</formula>
    </cfRule>
    <cfRule type="cellIs" dxfId="127" priority="17" operator="equal">
      <formula>"Enter Add. Cement"</formula>
    </cfRule>
    <cfRule type="cellIs" dxfId="126" priority="18" operator="equal">
      <formula>"Select One Option"</formula>
    </cfRule>
    <cfRule type="cellIs" dxfId="125" priority="19" operator="equal">
      <formula>"FAIL"</formula>
    </cfRule>
    <cfRule type="cellIs" dxfId="124" priority="20" operator="equal">
      <formula>"PASS"</formula>
    </cfRule>
  </conditionalFormatting>
  <conditionalFormatting sqref="H112:I112">
    <cfRule type="cellIs" dxfId="123" priority="16" operator="equal">
      <formula>"HES Mix ID?"</formula>
    </cfRule>
  </conditionalFormatting>
  <conditionalFormatting sqref="H117:I117">
    <cfRule type="cellIs" dxfId="122" priority="5" operator="equal">
      <formula>"Remove Add. Cement"</formula>
    </cfRule>
    <cfRule type="cellIs" dxfId="121" priority="6" operator="equal">
      <formula>"HES Modification?"</formula>
    </cfRule>
    <cfRule type="cellIs" dxfId="120" priority="12" operator="equal">
      <formula>"Enter Add. Cement"</formula>
    </cfRule>
    <cfRule type="cellIs" dxfId="119" priority="13" operator="equal">
      <formula>"PASS"</formula>
    </cfRule>
    <cfRule type="cellIs" dxfId="118" priority="14" operator="equal">
      <formula>"FAIL"</formula>
    </cfRule>
    <cfRule type="cellIs" dxfId="117" priority="15" operator="equal">
      <formula>"Select One Option"</formula>
    </cfRule>
  </conditionalFormatting>
  <conditionalFormatting sqref="E111:E123">
    <cfRule type="cellIs" dxfId="116" priority="11" operator="equal">
      <formula>"ERROR: vp/vv"</formula>
    </cfRule>
  </conditionalFormatting>
  <conditionalFormatting sqref="I116">
    <cfRule type="cellIs" dxfId="115" priority="10" operator="equal">
      <formula>"FAIL"</formula>
    </cfRule>
  </conditionalFormatting>
  <conditionalFormatting sqref="H113:I113">
    <cfRule type="cellIs" dxfId="114" priority="9" operator="equal">
      <formula>"HES MRS #?"</formula>
    </cfRule>
  </conditionalFormatting>
  <conditionalFormatting sqref="H115:I115">
    <cfRule type="cellIs" dxfId="113" priority="3" operator="equal">
      <formula>"Placement Method?"</formula>
    </cfRule>
  </conditionalFormatting>
  <conditionalFormatting sqref="H114:I114">
    <cfRule type="cellIs" dxfId="112" priority="1" operator="equal">
      <formula>"FAIL"</formula>
    </cfRule>
    <cfRule type="cellIs" dxfId="111" priority="2" operator="equal">
      <formula>"Add. Cement?"</formula>
    </cfRule>
  </conditionalFormatting>
  <printOptions horizontalCentered="1"/>
  <pageMargins left="0.25" right="0.25" top="0.75" bottom="0.75" header="0.3" footer="0.3"/>
  <pageSetup scale="61" fitToHeight="0" orientation="portrait" r:id="rId1"/>
  <headerFooter>
    <oddFooter>&amp;L&amp;9&amp;A&amp;C&amp;9&amp;P of &amp;N&amp;R&amp;9&amp;F</oddFooter>
  </headerFooter>
  <rowBreaks count="1" manualBreakCount="1">
    <brk id="61" max="9" man="1"/>
  </rowBreaks>
  <ignoredErrors>
    <ignoredError sqref="D6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69" r:id="rId4" name="Check Box 25">
              <controlPr defaultSize="0" autoFill="0" autoLine="0" autoPict="0">
                <anchor moveWithCells="1">
                  <from>
                    <xdr:col>1</xdr:col>
                    <xdr:colOff>0</xdr:colOff>
                    <xdr:row>123</xdr:row>
                    <xdr:rowOff>152400</xdr:rowOff>
                  </from>
                  <to>
                    <xdr:col>2</xdr:col>
                    <xdr:colOff>666750</xdr:colOff>
                    <xdr:row>125</xdr:row>
                    <xdr:rowOff>28575</xdr:rowOff>
                  </to>
                </anchor>
              </controlPr>
            </control>
          </mc:Choice>
        </mc:AlternateContent>
        <mc:AlternateContent xmlns:mc="http://schemas.openxmlformats.org/markup-compatibility/2006">
          <mc:Choice Requires="x14">
            <control shapeId="6170" r:id="rId5" name="Check Box 26">
              <controlPr defaultSize="0" autoFill="0" autoLine="0" autoPict="0">
                <anchor moveWithCells="1">
                  <from>
                    <xdr:col>1</xdr:col>
                    <xdr:colOff>0</xdr:colOff>
                    <xdr:row>89</xdr:row>
                    <xdr:rowOff>152400</xdr:rowOff>
                  </from>
                  <to>
                    <xdr:col>3</xdr:col>
                    <xdr:colOff>628650</xdr:colOff>
                    <xdr:row>91</xdr:row>
                    <xdr:rowOff>28575</xdr:rowOff>
                  </to>
                </anchor>
              </controlPr>
            </control>
          </mc:Choice>
        </mc:AlternateContent>
        <mc:AlternateContent xmlns:mc="http://schemas.openxmlformats.org/markup-compatibility/2006">
          <mc:Choice Requires="x14">
            <control shapeId="6171" r:id="rId6" name="Check Box 27">
              <controlPr defaultSize="0" autoFill="0" autoLine="0" autoPict="0">
                <anchor moveWithCells="1">
                  <from>
                    <xdr:col>8</xdr:col>
                    <xdr:colOff>9525</xdr:colOff>
                    <xdr:row>118</xdr:row>
                    <xdr:rowOff>180975</xdr:rowOff>
                  </from>
                  <to>
                    <xdr:col>9</xdr:col>
                    <xdr:colOff>438150</xdr:colOff>
                    <xdr:row>119</xdr:row>
                    <xdr:rowOff>190500</xdr:rowOff>
                  </to>
                </anchor>
              </controlPr>
            </control>
          </mc:Choice>
        </mc:AlternateContent>
        <mc:AlternateContent xmlns:mc="http://schemas.openxmlformats.org/markup-compatibility/2006">
          <mc:Choice Requires="x14">
            <control shapeId="6172" r:id="rId7" name="Check Box 28">
              <controlPr defaultSize="0" autoFill="0" autoLine="0" autoPict="0">
                <anchor moveWithCells="1">
                  <from>
                    <xdr:col>8</xdr:col>
                    <xdr:colOff>9525</xdr:colOff>
                    <xdr:row>120</xdr:row>
                    <xdr:rowOff>9525</xdr:rowOff>
                  </from>
                  <to>
                    <xdr:col>10</xdr:col>
                    <xdr:colOff>133350</xdr:colOff>
                    <xdr:row>120</xdr:row>
                    <xdr:rowOff>180975</xdr:rowOff>
                  </to>
                </anchor>
              </controlPr>
            </control>
          </mc:Choice>
        </mc:AlternateContent>
        <mc:AlternateContent xmlns:mc="http://schemas.openxmlformats.org/markup-compatibility/2006">
          <mc:Choice Requires="x14">
            <control shapeId="6173" r:id="rId8" name="Check Box 29">
              <controlPr defaultSize="0" autoFill="0" autoLine="0" autoPict="0">
                <anchor moveWithCells="1">
                  <from>
                    <xdr:col>8</xdr:col>
                    <xdr:colOff>9525</xdr:colOff>
                    <xdr:row>121</xdr:row>
                    <xdr:rowOff>9525</xdr:rowOff>
                  </from>
                  <to>
                    <xdr:col>10</xdr:col>
                    <xdr:colOff>114300</xdr:colOff>
                    <xdr:row>121</xdr:row>
                    <xdr:rowOff>190500</xdr:rowOff>
                  </to>
                </anchor>
              </controlPr>
            </control>
          </mc:Choice>
        </mc:AlternateContent>
        <mc:AlternateContent xmlns:mc="http://schemas.openxmlformats.org/markup-compatibility/2006">
          <mc:Choice Requires="x14">
            <control shapeId="6174" r:id="rId9" name="Check Box 30">
              <controlPr defaultSize="0" autoFill="0" autoLine="0" autoPict="0">
                <anchor moveWithCells="1">
                  <from>
                    <xdr:col>1</xdr:col>
                    <xdr:colOff>0</xdr:colOff>
                    <xdr:row>130</xdr:row>
                    <xdr:rowOff>161925</xdr:rowOff>
                  </from>
                  <to>
                    <xdr:col>3</xdr:col>
                    <xdr:colOff>857250</xdr:colOff>
                    <xdr:row>132</xdr:row>
                    <xdr:rowOff>47625</xdr:rowOff>
                  </to>
                </anchor>
              </controlPr>
            </control>
          </mc:Choice>
        </mc:AlternateContent>
        <mc:AlternateContent xmlns:mc="http://schemas.openxmlformats.org/markup-compatibility/2006">
          <mc:Choice Requires="x14">
            <control shapeId="6188" r:id="rId10" name="Check Box 44">
              <controlPr defaultSize="0" autoFill="0" autoLine="0" autoPict="0">
                <anchor moveWithCells="1">
                  <from>
                    <xdr:col>4</xdr:col>
                    <xdr:colOff>19050</xdr:colOff>
                    <xdr:row>38</xdr:row>
                    <xdr:rowOff>0</xdr:rowOff>
                  </from>
                  <to>
                    <xdr:col>4</xdr:col>
                    <xdr:colOff>990600</xdr:colOff>
                    <xdr:row>38</xdr:row>
                    <xdr:rowOff>190500</xdr:rowOff>
                  </to>
                </anchor>
              </controlPr>
            </control>
          </mc:Choice>
        </mc:AlternateContent>
        <mc:AlternateContent xmlns:mc="http://schemas.openxmlformats.org/markup-compatibility/2006">
          <mc:Choice Requires="x14">
            <control shapeId="6189" r:id="rId11" name="Check Box 45">
              <controlPr defaultSize="0" autoFill="0" autoLine="0" autoPict="0">
                <anchor moveWithCells="1">
                  <from>
                    <xdr:col>4</xdr:col>
                    <xdr:colOff>990600</xdr:colOff>
                    <xdr:row>38</xdr:row>
                    <xdr:rowOff>19050</xdr:rowOff>
                  </from>
                  <to>
                    <xdr:col>5</xdr:col>
                    <xdr:colOff>866775</xdr:colOff>
                    <xdr:row>38</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354E4F1-1217-4819-A718-ECF7195118F5}">
          <x14:formula1>
            <xm:f>'6 Agg Analysis'!$AG$42:$AG$44</xm:f>
          </x14:formula1>
          <xm:sqref>H39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1DC78-A73B-4DEE-8BA5-C12B7A4140F3}">
  <dimension ref="A1:T186"/>
  <sheetViews>
    <sheetView showGridLines="0" zoomScale="80" zoomScaleNormal="80" zoomScaleSheetLayoutView="85" workbookViewId="0">
      <selection activeCell="B13" sqref="B13:C13"/>
    </sheetView>
  </sheetViews>
  <sheetFormatPr defaultColWidth="9.28515625" defaultRowHeight="15.75" x14ac:dyDescent="0.25"/>
  <cols>
    <col min="1" max="1" width="18.42578125" style="169" customWidth="1"/>
    <col min="2" max="2" width="24.28515625" style="169" bestFit="1" customWidth="1"/>
    <col min="3" max="3" width="14.28515625" style="169" customWidth="1"/>
    <col min="4" max="5" width="13.28515625" style="169" customWidth="1"/>
    <col min="6" max="6" width="16.85546875" style="169" customWidth="1"/>
    <col min="7" max="7" width="13.28515625" style="169" customWidth="1"/>
    <col min="8" max="8" width="15.28515625" style="169" customWidth="1"/>
    <col min="9" max="12" width="13.28515625" style="169" customWidth="1"/>
    <col min="13" max="13" width="13.7109375" style="169" customWidth="1"/>
    <col min="14" max="14" width="12.7109375" style="169" bestFit="1" customWidth="1"/>
    <col min="15" max="15" width="9.28515625" style="169" bestFit="1" customWidth="1"/>
    <col min="16" max="16" width="14" style="169" customWidth="1"/>
    <col min="17" max="17" width="11.7109375" style="169" customWidth="1"/>
    <col min="18" max="18" width="9.28515625" style="169" bestFit="1" customWidth="1"/>
    <col min="19" max="19" width="11.5703125" style="169" customWidth="1"/>
    <col min="20" max="20" width="0" style="169" hidden="1" customWidth="1"/>
    <col min="21" max="22" width="9.28515625" style="169" bestFit="1" customWidth="1"/>
    <col min="23" max="16384" width="9.28515625" style="169"/>
  </cols>
  <sheetData>
    <row r="1" spans="1:17" x14ac:dyDescent="0.25">
      <c r="A1" s="1039" t="s">
        <v>378</v>
      </c>
      <c r="B1" s="1040"/>
      <c r="C1" s="1040"/>
      <c r="D1" s="1040"/>
      <c r="E1" s="1040"/>
      <c r="F1" s="1037" t="s">
        <v>365</v>
      </c>
      <c r="G1" s="1037"/>
      <c r="H1" s="1037"/>
      <c r="I1" s="1038"/>
    </row>
    <row r="2" spans="1:17" x14ac:dyDescent="0.25">
      <c r="A2" s="1033" t="str">
        <f>Directions!A2</f>
        <v>DT2221     08/2022</v>
      </c>
      <c r="B2" s="1034"/>
      <c r="C2" s="1034"/>
      <c r="D2" s="1034"/>
      <c r="E2" s="1034"/>
      <c r="F2" s="1034"/>
      <c r="G2" s="1034"/>
      <c r="H2" s="1035"/>
      <c r="I2" s="1036"/>
    </row>
    <row r="3" spans="1:17" ht="15.6" customHeight="1" x14ac:dyDescent="0.25">
      <c r="A3" s="1048" t="s">
        <v>14</v>
      </c>
      <c r="B3" s="1049"/>
      <c r="C3" s="1049"/>
      <c r="D3" s="1049"/>
      <c r="E3" s="1049"/>
      <c r="F3" s="1049"/>
      <c r="G3" s="1049"/>
      <c r="H3" s="528" t="s">
        <v>374</v>
      </c>
      <c r="I3" s="503">
        <f>'1 Certification'!H22</f>
        <v>0</v>
      </c>
    </row>
    <row r="4" spans="1:17" x14ac:dyDescent="0.25">
      <c r="A4" s="1043" t="s">
        <v>15</v>
      </c>
      <c r="B4" s="1044"/>
      <c r="C4" s="1045" t="s">
        <v>16</v>
      </c>
      <c r="D4" s="1044"/>
      <c r="E4" s="1045" t="s">
        <v>17</v>
      </c>
      <c r="F4" s="1044"/>
      <c r="G4" s="1044"/>
      <c r="H4" s="1046" t="s">
        <v>18</v>
      </c>
      <c r="I4" s="1047"/>
    </row>
    <row r="5" spans="1:17" x14ac:dyDescent="0.25">
      <c r="A5" s="1050">
        <f>'1 Certification'!B5</f>
        <v>0</v>
      </c>
      <c r="B5" s="1051"/>
      <c r="C5" s="1052">
        <f>'1 Certification'!E5</f>
        <v>0</v>
      </c>
      <c r="D5" s="1051"/>
      <c r="E5" s="1052">
        <f>'1 Certification'!F5</f>
        <v>0</v>
      </c>
      <c r="F5" s="1051"/>
      <c r="G5" s="1051"/>
      <c r="H5" s="1054">
        <f>'1 Certification'!H5</f>
        <v>0</v>
      </c>
      <c r="I5" s="1055"/>
      <c r="O5" s="169" t="s">
        <v>2</v>
      </c>
    </row>
    <row r="6" spans="1:17" x14ac:dyDescent="0.25">
      <c r="A6" s="1043" t="s">
        <v>19</v>
      </c>
      <c r="B6" s="1044"/>
      <c r="C6" s="1044"/>
      <c r="D6" s="1044"/>
      <c r="E6" s="1045" t="s">
        <v>20</v>
      </c>
      <c r="F6" s="1044"/>
      <c r="G6" s="1044"/>
      <c r="H6" s="1044"/>
      <c r="I6" s="1057"/>
    </row>
    <row r="7" spans="1:17" x14ac:dyDescent="0.25">
      <c r="A7" s="1050" t="str">
        <f>IF('1 Certification'!B7=0,"",'1 Certification'!B7)</f>
        <v/>
      </c>
      <c r="B7" s="1051"/>
      <c r="C7" s="1051"/>
      <c r="D7" s="1051"/>
      <c r="E7" s="1052">
        <f>'1 Certification'!F7</f>
        <v>0</v>
      </c>
      <c r="F7" s="1051"/>
      <c r="G7" s="1051"/>
      <c r="H7" s="1051"/>
      <c r="I7" s="1053"/>
    </row>
    <row r="8" spans="1:17" ht="15.4" customHeight="1" x14ac:dyDescent="0.25">
      <c r="A8" s="1043" t="s">
        <v>21</v>
      </c>
      <c r="B8" s="1044"/>
      <c r="C8" s="1044"/>
      <c r="D8" s="1044"/>
      <c r="E8" s="1045" t="s">
        <v>297</v>
      </c>
      <c r="F8" s="1044"/>
      <c r="G8" s="1044"/>
      <c r="H8" s="1044"/>
      <c r="I8" s="1057"/>
      <c r="J8" s="170"/>
      <c r="L8" s="171"/>
    </row>
    <row r="9" spans="1:17" ht="16.5" thickBot="1" x14ac:dyDescent="0.3">
      <c r="A9" s="1058">
        <f>'1 Certification'!B9</f>
        <v>0</v>
      </c>
      <c r="B9" s="1059"/>
      <c r="C9" s="1059"/>
      <c r="D9" s="1059"/>
      <c r="E9" s="1060">
        <f>'1 Certification'!F9</f>
        <v>0</v>
      </c>
      <c r="F9" s="1059"/>
      <c r="G9" s="1059"/>
      <c r="H9" s="1059"/>
      <c r="I9" s="1061"/>
    </row>
    <row r="10" spans="1:17" ht="16.149999999999999" customHeight="1" thickBot="1" x14ac:dyDescent="0.3">
      <c r="A10" s="172"/>
      <c r="B10" s="173"/>
      <c r="C10" s="173"/>
      <c r="D10" s="173"/>
      <c r="E10" s="173"/>
      <c r="F10" s="173"/>
      <c r="G10" s="173"/>
      <c r="H10" s="173"/>
      <c r="I10" s="173"/>
      <c r="J10" s="1072" t="str">
        <f>Directions!N8</f>
        <v>Version 2.1</v>
      </c>
      <c r="K10" s="1072"/>
    </row>
    <row r="11" spans="1:17" ht="16.5" thickBot="1" x14ac:dyDescent="0.3">
      <c r="A11" s="1062" t="s">
        <v>220</v>
      </c>
      <c r="B11" s="1063"/>
      <c r="C11" s="1063"/>
      <c r="D11" s="1063"/>
      <c r="E11" s="1063"/>
      <c r="F11" s="1063"/>
      <c r="G11" s="1063"/>
      <c r="H11" s="1063"/>
      <c r="I11" s="1065"/>
      <c r="N11" s="174"/>
      <c r="Q11" s="175"/>
    </row>
    <row r="12" spans="1:17" s="179" customFormat="1" ht="16.149999999999999" customHeight="1" thickBot="1" x14ac:dyDescent="0.3">
      <c r="A12" s="176" t="s">
        <v>23</v>
      </c>
      <c r="B12" s="1066" t="s">
        <v>170</v>
      </c>
      <c r="C12" s="1067"/>
      <c r="D12" s="1068" t="s">
        <v>175</v>
      </c>
      <c r="E12" s="1069"/>
      <c r="F12" s="177" t="s">
        <v>174</v>
      </c>
      <c r="G12" s="177" t="s">
        <v>25</v>
      </c>
      <c r="H12" s="178" t="s">
        <v>157</v>
      </c>
      <c r="I12" s="178" t="s">
        <v>26</v>
      </c>
      <c r="K12" s="771"/>
      <c r="L12" s="771"/>
    </row>
    <row r="13" spans="1:17" ht="15.6" customHeight="1" x14ac:dyDescent="0.25">
      <c r="A13" s="180" t="s">
        <v>158</v>
      </c>
      <c r="B13" s="1070"/>
      <c r="C13" s="1071"/>
      <c r="D13" s="1070"/>
      <c r="E13" s="1071"/>
      <c r="F13" s="571"/>
      <c r="G13" s="181"/>
      <c r="H13" s="181"/>
      <c r="I13" s="182">
        <f>$G$13*(1+($H$13/100))</f>
        <v>0</v>
      </c>
      <c r="K13" s="771"/>
      <c r="L13" s="771"/>
    </row>
    <row r="14" spans="1:17" ht="15.6" customHeight="1" x14ac:dyDescent="0.25">
      <c r="A14" s="183" t="s">
        <v>159</v>
      </c>
      <c r="B14" s="1075"/>
      <c r="C14" s="1076"/>
      <c r="D14" s="1075"/>
      <c r="E14" s="1076"/>
      <c r="F14" s="572"/>
      <c r="G14" s="184"/>
      <c r="H14" s="184"/>
      <c r="I14" s="185">
        <f>$G$14*(1+($H$14/100))</f>
        <v>0</v>
      </c>
    </row>
    <row r="15" spans="1:17" ht="15.6" customHeight="1" x14ac:dyDescent="0.25">
      <c r="A15" s="183" t="s">
        <v>176</v>
      </c>
      <c r="B15" s="1075"/>
      <c r="C15" s="1076"/>
      <c r="D15" s="1075"/>
      <c r="E15" s="1076"/>
      <c r="F15" s="572"/>
      <c r="G15" s="184"/>
      <c r="H15" s="184"/>
      <c r="I15" s="186">
        <f>$G$15*(1+($H$15/100))</f>
        <v>0</v>
      </c>
    </row>
    <row r="16" spans="1:17" ht="15.6" customHeight="1" x14ac:dyDescent="0.25">
      <c r="A16" s="180" t="s">
        <v>177</v>
      </c>
      <c r="B16" s="1075"/>
      <c r="C16" s="1076"/>
      <c r="D16" s="1075"/>
      <c r="E16" s="1076"/>
      <c r="F16" s="573"/>
      <c r="G16" s="187"/>
      <c r="H16" s="184"/>
      <c r="I16" s="188">
        <f>$G$16*(1+($H$16/100))</f>
        <v>0</v>
      </c>
    </row>
    <row r="17" spans="1:20" ht="16.149999999999999" customHeight="1" thickBot="1" x14ac:dyDescent="0.3">
      <c r="A17" s="189" t="s">
        <v>178</v>
      </c>
      <c r="B17" s="1073"/>
      <c r="C17" s="1074"/>
      <c r="D17" s="1073"/>
      <c r="E17" s="1074"/>
      <c r="F17" s="574"/>
      <c r="G17" s="190"/>
      <c r="H17" s="191"/>
      <c r="I17" s="192">
        <f>$G$17*(1+($H$17/100))</f>
        <v>0</v>
      </c>
    </row>
    <row r="18" spans="1:20" ht="16.5" thickBot="1" x14ac:dyDescent="0.3">
      <c r="A18" s="173"/>
      <c r="B18" s="193"/>
      <c r="C18" s="194"/>
      <c r="D18" s="194"/>
      <c r="E18" s="195"/>
      <c r="F18" s="193"/>
    </row>
    <row r="19" spans="1:20" ht="16.5" thickBot="1" x14ac:dyDescent="0.3">
      <c r="A19" s="1062" t="s">
        <v>169</v>
      </c>
      <c r="B19" s="1063"/>
      <c r="C19" s="196"/>
      <c r="D19" s="197"/>
      <c r="E19" s="197"/>
      <c r="F19" s="197"/>
      <c r="G19" s="197"/>
    </row>
    <row r="20" spans="1:20" ht="16.5" thickBot="1" x14ac:dyDescent="0.3">
      <c r="A20" s="198"/>
      <c r="B20" s="199"/>
      <c r="C20" s="200"/>
      <c r="D20" s="201"/>
      <c r="E20" s="202"/>
      <c r="H20" s="203"/>
    </row>
    <row r="21" spans="1:20" ht="15.6" customHeight="1" thickBot="1" x14ac:dyDescent="0.3">
      <c r="A21" s="1041" t="s">
        <v>27</v>
      </c>
      <c r="B21" s="1064"/>
      <c r="C21" s="1064"/>
      <c r="D21" s="1064"/>
      <c r="E21" s="1064"/>
      <c r="F21" s="1042"/>
      <c r="G21" s="193"/>
      <c r="H21" s="193"/>
      <c r="I21" s="193"/>
      <c r="J21" s="193"/>
      <c r="K21" s="193"/>
      <c r="L21" s="193"/>
      <c r="M21" s="193"/>
    </row>
    <row r="22" spans="1:20" ht="14.65" hidden="1" customHeight="1" thickBot="1" x14ac:dyDescent="0.3">
      <c r="A22" s="204"/>
      <c r="C22" s="205"/>
      <c r="D22" s="201"/>
      <c r="E22" s="202"/>
      <c r="H22" s="199" t="e">
        <f>IF(OR(AND(#REF!=0,#REF!=0),(#REF!&lt;&gt;0)),0,1)</f>
        <v>#REF!</v>
      </c>
      <c r="J22" s="199" t="e">
        <f>#REF!+#REF!+H22</f>
        <v>#REF!</v>
      </c>
      <c r="L22" s="206"/>
      <c r="M22" s="193"/>
      <c r="N22" s="206"/>
      <c r="O22" s="193"/>
      <c r="P22" s="207"/>
    </row>
    <row r="23" spans="1:20" s="212" customFormat="1" ht="16.5" thickBot="1" x14ac:dyDescent="0.3">
      <c r="A23" s="208" t="s">
        <v>216</v>
      </c>
      <c r="B23" s="209" t="str">
        <f>IF(ISTEXT(A13),A13,"")</f>
        <v>Coarse A</v>
      </c>
      <c r="C23" s="209" t="str">
        <f>IF(ISTEXT(A14),A14,"")</f>
        <v>Coarse B</v>
      </c>
      <c r="D23" s="209" t="str">
        <f>IF(ISTEXT(A15),A15,"")</f>
        <v>Coarse C</v>
      </c>
      <c r="E23" s="209" t="str">
        <f>IF(ISTEXT(A16),A16,"")</f>
        <v>Fine A</v>
      </c>
      <c r="F23" s="210" t="str">
        <f>IF(ISTEXT(A17),A17,"")</f>
        <v>Fine B</v>
      </c>
      <c r="G23" s="211"/>
      <c r="I23" s="211"/>
      <c r="K23" s="211"/>
      <c r="L23" s="205"/>
      <c r="M23" s="205"/>
      <c r="N23" s="205"/>
      <c r="O23" s="205"/>
      <c r="P23" s="205"/>
    </row>
    <row r="24" spans="1:20" s="212" customFormat="1" ht="47.45" customHeight="1" thickBot="1" x14ac:dyDescent="0.3">
      <c r="A24" s="213" t="s">
        <v>170</v>
      </c>
      <c r="B24" s="214" t="str">
        <f>IF(B13=0,"",B13)</f>
        <v/>
      </c>
      <c r="C24" s="215" t="str">
        <f>IF(B14=0,"",B14)</f>
        <v/>
      </c>
      <c r="D24" s="216" t="str">
        <f>IF(B15=0,"",B15)</f>
        <v/>
      </c>
      <c r="E24" s="216" t="str">
        <f>IF(B16=0,"",B16)</f>
        <v/>
      </c>
      <c r="F24" s="215" t="str">
        <f>IF(B17=0,"",B17)</f>
        <v/>
      </c>
      <c r="G24" s="217"/>
      <c r="I24" s="218"/>
      <c r="K24" s="218"/>
      <c r="L24" s="219"/>
      <c r="M24" s="219"/>
      <c r="N24" s="219"/>
      <c r="O24" s="219"/>
      <c r="P24" s="219"/>
    </row>
    <row r="25" spans="1:20" s="212" customFormat="1" ht="16.5" thickBot="1" x14ac:dyDescent="0.3">
      <c r="A25" s="761" t="s">
        <v>30</v>
      </c>
      <c r="B25" s="178" t="s">
        <v>31</v>
      </c>
      <c r="C25" s="178" t="s">
        <v>31</v>
      </c>
      <c r="D25" s="178" t="s">
        <v>31</v>
      </c>
      <c r="E25" s="761" t="s">
        <v>31</v>
      </c>
      <c r="F25" s="178" t="s">
        <v>31</v>
      </c>
      <c r="G25" s="220"/>
      <c r="I25" s="220"/>
      <c r="K25" s="220"/>
      <c r="L25" s="219"/>
      <c r="M25" s="219"/>
      <c r="N25" s="219"/>
      <c r="O25" s="221"/>
      <c r="P25" s="221"/>
    </row>
    <row r="26" spans="1:20" s="212" customFormat="1" x14ac:dyDescent="0.25">
      <c r="A26" s="222" t="s">
        <v>33</v>
      </c>
      <c r="B26" s="634"/>
      <c r="C26" s="634"/>
      <c r="D26" s="634"/>
      <c r="E26" s="635"/>
      <c r="F26" s="635"/>
      <c r="G26" s="219"/>
      <c r="I26" s="219"/>
      <c r="K26" s="219"/>
      <c r="L26" s="223"/>
      <c r="M26" s="223"/>
      <c r="N26" s="223"/>
      <c r="O26" s="223"/>
      <c r="P26" s="219"/>
    </row>
    <row r="27" spans="1:20" x14ac:dyDescent="0.25">
      <c r="A27" s="224" t="s">
        <v>34</v>
      </c>
      <c r="B27" s="634"/>
      <c r="C27" s="634"/>
      <c r="D27" s="634"/>
      <c r="E27" s="634"/>
      <c r="F27" s="634"/>
      <c r="G27" s="225"/>
      <c r="I27" s="225"/>
      <c r="K27" s="225"/>
      <c r="L27" s="225"/>
      <c r="M27" s="226"/>
      <c r="N27" s="227"/>
      <c r="O27" s="228"/>
      <c r="P27" s="229"/>
      <c r="T27" s="169">
        <v>100</v>
      </c>
    </row>
    <row r="28" spans="1:20" x14ac:dyDescent="0.25">
      <c r="A28" s="224" t="s">
        <v>35</v>
      </c>
      <c r="B28" s="634"/>
      <c r="C28" s="634"/>
      <c r="D28" s="634"/>
      <c r="E28" s="634"/>
      <c r="F28" s="634"/>
      <c r="G28" s="225"/>
      <c r="I28" s="225"/>
      <c r="K28" s="225"/>
      <c r="L28" s="225"/>
      <c r="M28" s="226"/>
      <c r="N28" s="227"/>
      <c r="O28" s="228"/>
      <c r="P28" s="229"/>
      <c r="T28" s="169">
        <v>100</v>
      </c>
    </row>
    <row r="29" spans="1:20" x14ac:dyDescent="0.25">
      <c r="A29" s="224" t="s">
        <v>36</v>
      </c>
      <c r="B29" s="634"/>
      <c r="C29" s="634"/>
      <c r="D29" s="634"/>
      <c r="E29" s="634"/>
      <c r="F29" s="634"/>
      <c r="G29" s="225"/>
      <c r="I29" s="225"/>
      <c r="K29" s="225"/>
      <c r="L29" s="225"/>
      <c r="M29" s="226"/>
      <c r="N29" s="227"/>
      <c r="O29" s="228"/>
      <c r="P29" s="229"/>
      <c r="T29" s="169">
        <v>100</v>
      </c>
    </row>
    <row r="30" spans="1:20" x14ac:dyDescent="0.25">
      <c r="A30" s="224" t="s">
        <v>37</v>
      </c>
      <c r="B30" s="634"/>
      <c r="C30" s="634"/>
      <c r="D30" s="634"/>
      <c r="E30" s="634"/>
      <c r="F30" s="634"/>
      <c r="G30" s="225"/>
      <c r="I30" s="225"/>
      <c r="K30" s="225"/>
      <c r="L30" s="225"/>
      <c r="M30" s="226"/>
      <c r="N30" s="227"/>
      <c r="O30" s="228"/>
      <c r="P30" s="229"/>
      <c r="T30" s="169">
        <v>100</v>
      </c>
    </row>
    <row r="31" spans="1:20" x14ac:dyDescent="0.25">
      <c r="A31" s="224" t="s">
        <v>38</v>
      </c>
      <c r="B31" s="634"/>
      <c r="C31" s="634"/>
      <c r="D31" s="634"/>
      <c r="E31" s="634"/>
      <c r="F31" s="634"/>
      <c r="G31" s="225"/>
      <c r="I31" s="225"/>
      <c r="K31" s="225"/>
      <c r="L31" s="225"/>
      <c r="M31" s="226"/>
      <c r="N31" s="227"/>
      <c r="O31" s="228"/>
      <c r="P31" s="229"/>
      <c r="T31" s="169">
        <v>100</v>
      </c>
    </row>
    <row r="32" spans="1:20" x14ac:dyDescent="0.25">
      <c r="A32" s="224" t="s">
        <v>39</v>
      </c>
      <c r="B32" s="634"/>
      <c r="C32" s="634"/>
      <c r="D32" s="634"/>
      <c r="E32" s="634"/>
      <c r="F32" s="634"/>
      <c r="G32" s="225"/>
      <c r="I32" s="225"/>
      <c r="K32" s="225"/>
      <c r="L32" s="225"/>
      <c r="M32" s="226"/>
      <c r="N32" s="227"/>
      <c r="O32" s="228"/>
      <c r="P32" s="230"/>
      <c r="T32" s="169">
        <v>95</v>
      </c>
    </row>
    <row r="33" spans="1:20" x14ac:dyDescent="0.25">
      <c r="A33" s="224" t="s">
        <v>40</v>
      </c>
      <c r="B33" s="634"/>
      <c r="C33" s="634"/>
      <c r="D33" s="634"/>
      <c r="E33" s="634"/>
      <c r="F33" s="634"/>
      <c r="G33" s="225"/>
      <c r="I33" s="225"/>
      <c r="K33" s="225"/>
      <c r="L33" s="225"/>
      <c r="M33" s="226"/>
      <c r="N33" s="227"/>
      <c r="O33" s="228"/>
      <c r="P33" s="230"/>
      <c r="T33" s="169">
        <v>50</v>
      </c>
    </row>
    <row r="34" spans="1:20" x14ac:dyDescent="0.25">
      <c r="A34" s="224" t="s">
        <v>41</v>
      </c>
      <c r="B34" s="634"/>
      <c r="C34" s="634"/>
      <c r="D34" s="634"/>
      <c r="E34" s="634"/>
      <c r="F34" s="634"/>
      <c r="G34" s="225"/>
      <c r="I34" s="225"/>
      <c r="K34" s="225"/>
      <c r="L34" s="225"/>
      <c r="M34" s="226"/>
      <c r="N34" s="227"/>
      <c r="O34" s="228"/>
      <c r="P34" s="230"/>
      <c r="T34" s="169">
        <v>30</v>
      </c>
    </row>
    <row r="35" spans="1:20" x14ac:dyDescent="0.25">
      <c r="A35" s="224" t="s">
        <v>42</v>
      </c>
      <c r="B35" s="634"/>
      <c r="C35" s="634"/>
      <c r="D35" s="634"/>
      <c r="E35" s="634"/>
      <c r="F35" s="634"/>
      <c r="G35" s="225"/>
      <c r="I35" s="225"/>
      <c r="K35" s="225"/>
      <c r="L35" s="225"/>
      <c r="M35" s="226"/>
      <c r="N35" s="227"/>
      <c r="O35" s="228"/>
      <c r="P35" s="230"/>
      <c r="T35" s="169">
        <v>5</v>
      </c>
    </row>
    <row r="36" spans="1:20" x14ac:dyDescent="0.25">
      <c r="A36" s="224" t="s">
        <v>43</v>
      </c>
      <c r="B36" s="634"/>
      <c r="C36" s="634"/>
      <c r="D36" s="634"/>
      <c r="E36" s="634"/>
      <c r="F36" s="634"/>
      <c r="G36" s="225"/>
      <c r="I36" s="225"/>
      <c r="K36" s="225"/>
      <c r="L36" s="225"/>
      <c r="M36" s="226"/>
      <c r="N36" s="227"/>
      <c r="O36" s="228"/>
      <c r="P36" s="230"/>
      <c r="T36" s="169">
        <v>0</v>
      </c>
    </row>
    <row r="37" spans="1:20" x14ac:dyDescent="0.25">
      <c r="A37" s="224" t="s">
        <v>44</v>
      </c>
      <c r="B37" s="634"/>
      <c r="C37" s="634"/>
      <c r="D37" s="634"/>
      <c r="E37" s="634"/>
      <c r="F37" s="634"/>
      <c r="G37" s="225"/>
      <c r="I37" s="225"/>
      <c r="K37" s="225"/>
      <c r="L37" s="225"/>
      <c r="M37" s="226"/>
      <c r="N37" s="227"/>
      <c r="O37" s="228"/>
      <c r="P37" s="230"/>
      <c r="T37" s="169">
        <v>0</v>
      </c>
    </row>
    <row r="38" spans="1:20" ht="16.5" thickBot="1" x14ac:dyDescent="0.3">
      <c r="A38" s="231" t="s">
        <v>45</v>
      </c>
      <c r="B38" s="636"/>
      <c r="C38" s="636"/>
      <c r="D38" s="636"/>
      <c r="E38" s="636"/>
      <c r="F38" s="636"/>
      <c r="G38" s="225"/>
      <c r="I38" s="225"/>
      <c r="K38" s="225"/>
      <c r="L38" s="225"/>
      <c r="M38" s="226"/>
      <c r="N38" s="227"/>
      <c r="O38" s="228"/>
      <c r="P38" s="230"/>
      <c r="T38" s="169">
        <v>0</v>
      </c>
    </row>
    <row r="39" spans="1:20" ht="48" thickBot="1" x14ac:dyDescent="0.3">
      <c r="A39" s="232" t="s">
        <v>251</v>
      </c>
      <c r="B39" s="550"/>
      <c r="C39" s="551"/>
      <c r="D39" s="550"/>
      <c r="E39" s="233"/>
      <c r="F39" s="233"/>
      <c r="G39" s="225"/>
      <c r="I39" s="225"/>
      <c r="K39" s="225"/>
      <c r="L39" s="225"/>
      <c r="M39" s="226"/>
      <c r="N39" s="227"/>
      <c r="O39" s="228"/>
      <c r="P39" s="230"/>
    </row>
    <row r="40" spans="1:20" ht="16.5" thickBot="1" x14ac:dyDescent="0.3">
      <c r="A40" s="1041" t="s">
        <v>179</v>
      </c>
      <c r="B40" s="1042"/>
      <c r="C40" s="234">
        <f>ROUND('6 Agg Analysis'!AH20,2)</f>
        <v>0</v>
      </c>
      <c r="G40" s="225"/>
      <c r="I40" s="225"/>
      <c r="K40" s="225"/>
      <c r="L40" s="225"/>
      <c r="M40" s="226"/>
      <c r="N40" s="227"/>
      <c r="O40" s="228"/>
      <c r="P40" s="235"/>
      <c r="T40" s="169">
        <v>0</v>
      </c>
    </row>
    <row r="41" spans="1:20" ht="16.5" thickBot="1" x14ac:dyDescent="0.3">
      <c r="A41" s="1041" t="s">
        <v>180</v>
      </c>
      <c r="B41" s="1042"/>
      <c r="C41" s="234">
        <f>ROUND('6 Agg Analysis'!AI20,2)</f>
        <v>0</v>
      </c>
      <c r="G41" s="225"/>
      <c r="I41" s="205"/>
      <c r="K41" s="225"/>
      <c r="L41" s="194"/>
      <c r="N41" s="236"/>
    </row>
    <row r="42" spans="1:20" x14ac:dyDescent="0.25">
      <c r="A42" s="237"/>
      <c r="H42" s="238"/>
      <c r="K42" s="225"/>
      <c r="L42" s="238"/>
      <c r="P42" s="174"/>
      <c r="Q42" s="174"/>
    </row>
    <row r="43" spans="1:20" x14ac:dyDescent="0.25">
      <c r="A43" s="237"/>
      <c r="G43" s="239"/>
      <c r="H43" s="238"/>
      <c r="K43" s="225"/>
      <c r="L43" s="238"/>
      <c r="P43" s="174"/>
      <c r="Q43" s="174"/>
    </row>
    <row r="44" spans="1:20" x14ac:dyDescent="0.25">
      <c r="A44" s="237"/>
      <c r="E44" s="240"/>
      <c r="F44" s="193"/>
      <c r="G44" s="239"/>
      <c r="K44" s="225"/>
      <c r="P44" s="174"/>
      <c r="Q44" s="174"/>
    </row>
    <row r="45" spans="1:20" x14ac:dyDescent="0.25">
      <c r="A45" s="237"/>
      <c r="E45" s="240"/>
      <c r="F45" s="193"/>
      <c r="G45" s="239"/>
      <c r="P45" s="174"/>
      <c r="Q45" s="174"/>
    </row>
    <row r="46" spans="1:20" ht="15.6" customHeight="1" x14ac:dyDescent="0.25"/>
    <row r="47" spans="1:20" s="212" customFormat="1" ht="15.6" customHeight="1" x14ac:dyDescent="0.25">
      <c r="I47" s="241"/>
    </row>
    <row r="48" spans="1:20" s="212" customFormat="1" x14ac:dyDescent="0.25">
      <c r="M48" s="242"/>
      <c r="N48" s="242"/>
    </row>
    <row r="49" spans="1:13" s="212" customFormat="1" x14ac:dyDescent="0.25"/>
    <row r="50" spans="1:13" s="212" customFormat="1" x14ac:dyDescent="0.25">
      <c r="B50" s="219"/>
      <c r="C50" s="219"/>
      <c r="D50" s="219"/>
      <c r="E50" s="219"/>
      <c r="F50" s="243"/>
      <c r="G50" s="219"/>
      <c r="H50" s="219"/>
    </row>
    <row r="51" spans="1:13" s="212" customFormat="1" x14ac:dyDescent="0.25">
      <c r="B51" s="219"/>
      <c r="C51" s="219"/>
      <c r="D51" s="219"/>
      <c r="E51" s="219"/>
      <c r="J51" s="244"/>
      <c r="K51" s="244"/>
      <c r="L51" s="244"/>
      <c r="M51" s="244"/>
    </row>
    <row r="52" spans="1:13" x14ac:dyDescent="0.25">
      <c r="J52" s="245"/>
      <c r="K52" s="245"/>
      <c r="L52" s="1056"/>
    </row>
    <row r="53" spans="1:13" x14ac:dyDescent="0.25">
      <c r="J53" s="246"/>
      <c r="K53" s="247"/>
      <c r="L53" s="1056"/>
    </row>
    <row r="54" spans="1:13" x14ac:dyDescent="0.25">
      <c r="B54" s="193"/>
      <c r="C54" s="193"/>
      <c r="J54" s="230"/>
      <c r="K54" s="248"/>
    </row>
    <row r="55" spans="1:13" x14ac:dyDescent="0.25">
      <c r="A55" s="237"/>
      <c r="J55" s="230"/>
      <c r="K55" s="248"/>
    </row>
    <row r="56" spans="1:13" x14ac:dyDescent="0.25">
      <c r="A56" s="205"/>
      <c r="B56" s="205"/>
      <c r="C56" s="249"/>
      <c r="J56" s="230"/>
      <c r="K56" s="248"/>
    </row>
    <row r="57" spans="1:13" x14ac:dyDescent="0.25">
      <c r="A57" s="249"/>
      <c r="B57" s="205"/>
      <c r="C57" s="249"/>
      <c r="J57" s="230"/>
      <c r="K57" s="248"/>
    </row>
    <row r="58" spans="1:13" x14ac:dyDescent="0.25">
      <c r="J58" s="230"/>
      <c r="K58" s="248"/>
    </row>
    <row r="59" spans="1:13" x14ac:dyDescent="0.25">
      <c r="J59" s="230"/>
      <c r="K59" s="248"/>
    </row>
    <row r="60" spans="1:13" x14ac:dyDescent="0.25">
      <c r="J60" s="230"/>
      <c r="K60" s="248"/>
    </row>
    <row r="61" spans="1:13" x14ac:dyDescent="0.25">
      <c r="J61" s="230"/>
      <c r="K61" s="248"/>
    </row>
    <row r="62" spans="1:13" x14ac:dyDescent="0.25">
      <c r="J62" s="230"/>
      <c r="K62" s="248"/>
    </row>
    <row r="63" spans="1:13" x14ac:dyDescent="0.25">
      <c r="J63" s="230"/>
      <c r="K63" s="248"/>
    </row>
    <row r="64" spans="1:13" x14ac:dyDescent="0.25">
      <c r="J64" s="230"/>
      <c r="K64" s="248"/>
    </row>
    <row r="65" spans="2:11" x14ac:dyDescent="0.25">
      <c r="J65" s="230"/>
      <c r="K65" s="248"/>
    </row>
    <row r="66" spans="2:11" x14ac:dyDescent="0.25">
      <c r="J66" s="230"/>
      <c r="K66" s="248"/>
    </row>
    <row r="78" spans="2:11" x14ac:dyDescent="0.25">
      <c r="B78" s="237"/>
      <c r="C78" s="250"/>
    </row>
    <row r="79" spans="2:11" x14ac:dyDescent="0.25">
      <c r="C79" s="250"/>
    </row>
    <row r="108" spans="2:5" x14ac:dyDescent="0.25">
      <c r="B108" s="212"/>
      <c r="C108" s="212"/>
      <c r="D108" s="212"/>
      <c r="E108" s="212"/>
    </row>
    <row r="117" spans="4:6" x14ac:dyDescent="0.25">
      <c r="E117" s="251"/>
      <c r="F117" s="252"/>
    </row>
    <row r="118" spans="4:6" x14ac:dyDescent="0.25">
      <c r="E118" s="251"/>
      <c r="F118" s="252"/>
    </row>
    <row r="119" spans="4:6" x14ac:dyDescent="0.25">
      <c r="E119" s="251"/>
      <c r="F119" s="252"/>
    </row>
    <row r="120" spans="4:6" x14ac:dyDescent="0.25">
      <c r="E120" s="251"/>
      <c r="F120" s="252"/>
    </row>
    <row r="121" spans="4:6" x14ac:dyDescent="0.25">
      <c r="D121" s="253"/>
      <c r="E121" s="251"/>
      <c r="F121" s="252"/>
    </row>
    <row r="122" spans="4:6" x14ac:dyDescent="0.25">
      <c r="D122" s="253"/>
      <c r="E122" s="251"/>
      <c r="F122" s="252"/>
    </row>
    <row r="123" spans="4:6" x14ac:dyDescent="0.25">
      <c r="D123" s="253"/>
      <c r="E123" s="251"/>
      <c r="F123" s="252"/>
    </row>
    <row r="124" spans="4:6" x14ac:dyDescent="0.25">
      <c r="D124" s="253"/>
    </row>
    <row r="125" spans="4:6" x14ac:dyDescent="0.25">
      <c r="D125" s="253"/>
    </row>
    <row r="126" spans="4:6" x14ac:dyDescent="0.25">
      <c r="D126" s="253"/>
    </row>
    <row r="127" spans="4:6" x14ac:dyDescent="0.25">
      <c r="D127" s="253"/>
    </row>
    <row r="132" spans="2:4" x14ac:dyDescent="0.25">
      <c r="B132" s="254"/>
      <c r="C132" s="255"/>
      <c r="D132" s="255"/>
    </row>
    <row r="133" spans="2:4" x14ac:dyDescent="0.25">
      <c r="B133" s="254"/>
      <c r="C133" s="255"/>
      <c r="D133" s="255"/>
    </row>
    <row r="134" spans="2:4" x14ac:dyDescent="0.25">
      <c r="B134" s="254"/>
      <c r="C134" s="255"/>
      <c r="D134" s="255"/>
    </row>
    <row r="135" spans="2:4" x14ac:dyDescent="0.25">
      <c r="B135" s="254"/>
      <c r="C135" s="255"/>
      <c r="D135" s="255"/>
    </row>
    <row r="136" spans="2:4" x14ac:dyDescent="0.25">
      <c r="B136" s="254"/>
      <c r="C136" s="255"/>
      <c r="D136" s="255"/>
    </row>
    <row r="137" spans="2:4" x14ac:dyDescent="0.25">
      <c r="B137" s="254"/>
      <c r="C137" s="255"/>
      <c r="D137" s="255"/>
    </row>
    <row r="138" spans="2:4" x14ac:dyDescent="0.25">
      <c r="B138" s="254"/>
      <c r="C138" s="256"/>
      <c r="D138" s="250"/>
    </row>
    <row r="139" spans="2:4" x14ac:dyDescent="0.25">
      <c r="C139" s="256"/>
      <c r="D139" s="250"/>
    </row>
    <row r="140" spans="2:4" x14ac:dyDescent="0.25">
      <c r="C140" s="256"/>
      <c r="D140" s="250"/>
    </row>
    <row r="141" spans="2:4" x14ac:dyDescent="0.25">
      <c r="C141" s="256"/>
      <c r="D141" s="250"/>
    </row>
    <row r="142" spans="2:4" x14ac:dyDescent="0.25">
      <c r="C142" s="256"/>
      <c r="D142" s="250"/>
    </row>
    <row r="143" spans="2:4" x14ac:dyDescent="0.25">
      <c r="C143" s="256"/>
      <c r="D143" s="250"/>
    </row>
    <row r="144" spans="2:4" x14ac:dyDescent="0.25">
      <c r="C144" s="256"/>
      <c r="D144" s="250"/>
    </row>
    <row r="145" spans="3:16" x14ac:dyDescent="0.25">
      <c r="C145" s="256"/>
      <c r="D145" s="250"/>
      <c r="E145" s="257"/>
    </row>
    <row r="146" spans="3:16" x14ac:dyDescent="0.25">
      <c r="C146" s="256"/>
      <c r="D146" s="250"/>
      <c r="E146" s="257"/>
      <c r="O146" s="257"/>
      <c r="P146" s="237"/>
    </row>
    <row r="147" spans="3:16" x14ac:dyDescent="0.25">
      <c r="C147" s="256"/>
      <c r="D147" s="250"/>
      <c r="E147" s="257"/>
      <c r="O147" s="257"/>
      <c r="P147" s="237"/>
    </row>
    <row r="148" spans="3:16" x14ac:dyDescent="0.25">
      <c r="E148" s="257"/>
      <c r="O148" s="257"/>
      <c r="P148" s="237"/>
    </row>
    <row r="149" spans="3:16" x14ac:dyDescent="0.25">
      <c r="E149" s="257"/>
      <c r="O149" s="257"/>
      <c r="P149" s="237"/>
    </row>
    <row r="150" spans="3:16" x14ac:dyDescent="0.25">
      <c r="D150" s="237"/>
      <c r="E150" s="257"/>
      <c r="O150" s="257"/>
      <c r="P150" s="237"/>
    </row>
    <row r="151" spans="3:16" x14ac:dyDescent="0.25">
      <c r="D151" s="237"/>
      <c r="E151" s="257"/>
      <c r="O151" s="257"/>
      <c r="P151" s="237"/>
    </row>
    <row r="152" spans="3:16" x14ac:dyDescent="0.25">
      <c r="D152" s="237"/>
      <c r="O152" s="257"/>
      <c r="P152" s="237"/>
    </row>
    <row r="153" spans="3:16" x14ac:dyDescent="0.25">
      <c r="D153" s="237"/>
    </row>
    <row r="154" spans="3:16" x14ac:dyDescent="0.25">
      <c r="D154" s="237"/>
    </row>
    <row r="155" spans="3:16" x14ac:dyDescent="0.25">
      <c r="D155" s="237"/>
      <c r="N155" s="258"/>
      <c r="O155" s="258"/>
    </row>
    <row r="156" spans="3:16" x14ac:dyDescent="0.25">
      <c r="D156" s="237"/>
      <c r="N156" s="248"/>
      <c r="O156" s="248"/>
    </row>
    <row r="157" spans="3:16" x14ac:dyDescent="0.25">
      <c r="D157" s="237"/>
    </row>
    <row r="158" spans="3:16" x14ac:dyDescent="0.25">
      <c r="D158" s="237"/>
    </row>
    <row r="159" spans="3:16" x14ac:dyDescent="0.25">
      <c r="D159" s="237"/>
    </row>
    <row r="160" spans="3:16" x14ac:dyDescent="0.25">
      <c r="D160" s="237"/>
    </row>
    <row r="161" spans="4:5" x14ac:dyDescent="0.25">
      <c r="D161" s="237"/>
    </row>
    <row r="162" spans="4:5" x14ac:dyDescent="0.25">
      <c r="D162" s="237"/>
    </row>
    <row r="176" spans="4:5" x14ac:dyDescent="0.25">
      <c r="E176" s="250"/>
    </row>
    <row r="177" spans="5:5" x14ac:dyDescent="0.25">
      <c r="E177" s="250"/>
    </row>
    <row r="178" spans="5:5" x14ac:dyDescent="0.25">
      <c r="E178" s="250"/>
    </row>
    <row r="179" spans="5:5" x14ac:dyDescent="0.25">
      <c r="E179" s="250"/>
    </row>
    <row r="180" spans="5:5" x14ac:dyDescent="0.25">
      <c r="E180" s="250"/>
    </row>
    <row r="181" spans="5:5" x14ac:dyDescent="0.25">
      <c r="E181" s="250"/>
    </row>
    <row r="182" spans="5:5" x14ac:dyDescent="0.25">
      <c r="E182" s="250"/>
    </row>
    <row r="183" spans="5:5" x14ac:dyDescent="0.25">
      <c r="E183" s="250"/>
    </row>
    <row r="184" spans="5:5" x14ac:dyDescent="0.25">
      <c r="E184" s="250"/>
    </row>
    <row r="185" spans="5:5" x14ac:dyDescent="0.25">
      <c r="E185" s="250"/>
    </row>
    <row r="186" spans="5:5" x14ac:dyDescent="0.25">
      <c r="E186" s="250"/>
    </row>
  </sheetData>
  <sheetProtection algorithmName="SHA-512" hashValue="PZEzF6Uza/bKe9g9u5retbvfpGqAVAC6WAikG09+fdrpq9YZUfOwjGNSBJE1yUlorgMaBDIsNIC3/0GgDIEfTg==" saltValue="wVEVNhYC18QlW+7rJl/15A==" spinCount="100000" sheet="1" selectLockedCells="1"/>
  <mergeCells count="39">
    <mergeCell ref="E6:I6"/>
    <mergeCell ref="B17:C17"/>
    <mergeCell ref="D13:E13"/>
    <mergeCell ref="D14:E14"/>
    <mergeCell ref="D15:E15"/>
    <mergeCell ref="D16:E16"/>
    <mergeCell ref="D17:E17"/>
    <mergeCell ref="B14:C14"/>
    <mergeCell ref="B15:C15"/>
    <mergeCell ref="B16:C16"/>
    <mergeCell ref="L52:L53"/>
    <mergeCell ref="A8:D8"/>
    <mergeCell ref="E8:I8"/>
    <mergeCell ref="A9:D9"/>
    <mergeCell ref="E9:I9"/>
    <mergeCell ref="A19:B19"/>
    <mergeCell ref="A40:B40"/>
    <mergeCell ref="A21:F21"/>
    <mergeCell ref="A11:I11"/>
    <mergeCell ref="B12:C12"/>
    <mergeCell ref="D12:E12"/>
    <mergeCell ref="B13:C13"/>
    <mergeCell ref="J10:K10"/>
    <mergeCell ref="A2:I2"/>
    <mergeCell ref="F1:I1"/>
    <mergeCell ref="A1:E1"/>
    <mergeCell ref="A41:B41"/>
    <mergeCell ref="A4:B4"/>
    <mergeCell ref="C4:D4"/>
    <mergeCell ref="E4:G4"/>
    <mergeCell ref="H4:I4"/>
    <mergeCell ref="A3:G3"/>
    <mergeCell ref="A7:D7"/>
    <mergeCell ref="E7:I7"/>
    <mergeCell ref="A5:B5"/>
    <mergeCell ref="C5:D5"/>
    <mergeCell ref="E5:G5"/>
    <mergeCell ref="H5:I5"/>
    <mergeCell ref="A6:D6"/>
  </mergeCells>
  <phoneticPr fontId="17" type="noConversion"/>
  <printOptions verticalCentered="1"/>
  <pageMargins left="0.25" right="0.25" top="0.75" bottom="0.75" header="0.3" footer="0.3"/>
  <pageSetup scale="71" orientation="landscape" r:id="rId1"/>
  <headerFooter>
    <oddFooter>&amp;L&amp;9&amp;A&amp;C&amp;9&amp;P of &amp;N&amp;R&amp;9&amp;F</oddFooter>
  </headerFooter>
  <colBreaks count="1" manualBreakCount="1">
    <brk id="12" max="1048575" man="1"/>
  </colBreaks>
  <ignoredErrors>
    <ignoredError sqref="A4:I9 A3" unlocked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2ECE-98C3-47ED-90F6-77A86BFE0E2F}">
  <dimension ref="A1:T172"/>
  <sheetViews>
    <sheetView showGridLines="0" zoomScale="80" zoomScaleNormal="80" zoomScaleSheetLayoutView="85" workbookViewId="0">
      <selection activeCell="B13" sqref="B13"/>
    </sheetView>
  </sheetViews>
  <sheetFormatPr defaultColWidth="9.28515625" defaultRowHeight="15.75" x14ac:dyDescent="0.25"/>
  <cols>
    <col min="1" max="1" width="38.28515625" style="259" bestFit="1" customWidth="1"/>
    <col min="2" max="2" width="26.42578125" style="259" customWidth="1"/>
    <col min="3" max="3" width="20.28515625" style="259" customWidth="1"/>
    <col min="4" max="4" width="18.5703125" style="259" customWidth="1"/>
    <col min="5" max="5" width="16.7109375" style="259" customWidth="1"/>
    <col min="6" max="6" width="17.28515625" style="259" customWidth="1"/>
    <col min="7" max="7" width="8" style="259" customWidth="1"/>
    <col min="8" max="9" width="13.7109375" style="259" customWidth="1"/>
    <col min="10" max="10" width="12.7109375" style="259" customWidth="1"/>
    <col min="11" max="11" width="9.28515625" style="259" bestFit="1" customWidth="1"/>
    <col min="12" max="12" width="14" style="259" customWidth="1"/>
    <col min="13" max="13" width="11.7109375" style="259" customWidth="1"/>
    <col min="14" max="14" width="9.28515625" style="259" bestFit="1" customWidth="1"/>
    <col min="15" max="15" width="11.5703125" style="259" customWidth="1"/>
    <col min="16" max="16" width="9.28515625" style="259"/>
    <col min="17" max="18" width="9.28515625" style="259" bestFit="1" customWidth="1"/>
    <col min="19" max="16384" width="9.28515625" style="259"/>
  </cols>
  <sheetData>
    <row r="1" spans="1:16" x14ac:dyDescent="0.25">
      <c r="A1" s="1039" t="s">
        <v>378</v>
      </c>
      <c r="B1" s="1040"/>
      <c r="C1" s="1040"/>
      <c r="D1" s="1040"/>
      <c r="E1" s="1040"/>
      <c r="F1" s="1037" t="s">
        <v>365</v>
      </c>
      <c r="G1" s="1037"/>
      <c r="H1" s="1037"/>
      <c r="I1" s="1038"/>
    </row>
    <row r="2" spans="1:16" x14ac:dyDescent="0.25">
      <c r="A2" s="1113" t="str">
        <f>Directions!A2</f>
        <v>DT2221     08/2022</v>
      </c>
      <c r="B2" s="1114"/>
      <c r="C2" s="1114"/>
      <c r="D2" s="1114"/>
      <c r="E2" s="1114"/>
      <c r="F2" s="1114"/>
      <c r="G2" s="1114"/>
      <c r="H2" s="1114"/>
      <c r="I2" s="1115"/>
    </row>
    <row r="3" spans="1:16" ht="15.6" customHeight="1" x14ac:dyDescent="0.25">
      <c r="A3" s="1048" t="s">
        <v>14</v>
      </c>
      <c r="B3" s="1049"/>
      <c r="C3" s="1049"/>
      <c r="D3" s="1049"/>
      <c r="E3" s="1049"/>
      <c r="F3" s="1049"/>
      <c r="G3" s="1049"/>
      <c r="H3" s="528" t="s">
        <v>374</v>
      </c>
      <c r="I3" s="503">
        <f>'1 Certification'!H22</f>
        <v>0</v>
      </c>
    </row>
    <row r="4" spans="1:16" x14ac:dyDescent="0.25">
      <c r="A4" s="1043" t="s">
        <v>15</v>
      </c>
      <c r="B4" s="1044"/>
      <c r="C4" s="1045" t="s">
        <v>16</v>
      </c>
      <c r="D4" s="1044"/>
      <c r="E4" s="1045" t="s">
        <v>17</v>
      </c>
      <c r="F4" s="1044"/>
      <c r="G4" s="1044"/>
      <c r="H4" s="1046" t="s">
        <v>18</v>
      </c>
      <c r="I4" s="1047"/>
    </row>
    <row r="5" spans="1:16" x14ac:dyDescent="0.25">
      <c r="A5" s="1050">
        <f>'1 Certification'!B5</f>
        <v>0</v>
      </c>
      <c r="B5" s="1051"/>
      <c r="C5" s="1052">
        <f>'1 Certification'!E5</f>
        <v>0</v>
      </c>
      <c r="D5" s="1051"/>
      <c r="E5" s="1052">
        <f>'1 Certification'!F5</f>
        <v>0</v>
      </c>
      <c r="F5" s="1051"/>
      <c r="G5" s="1051"/>
      <c r="H5" s="1054">
        <f>'1 Certification'!H5</f>
        <v>0</v>
      </c>
      <c r="I5" s="1055"/>
      <c r="O5" s="259" t="s">
        <v>2</v>
      </c>
    </row>
    <row r="6" spans="1:16" x14ac:dyDescent="0.25">
      <c r="A6" s="1043" t="s">
        <v>19</v>
      </c>
      <c r="B6" s="1044"/>
      <c r="C6" s="1044"/>
      <c r="D6" s="1044"/>
      <c r="E6" s="1045" t="s">
        <v>20</v>
      </c>
      <c r="F6" s="1044"/>
      <c r="G6" s="1044"/>
      <c r="H6" s="1044"/>
      <c r="I6" s="1057"/>
    </row>
    <row r="7" spans="1:16" x14ac:dyDescent="0.25">
      <c r="A7" s="1050" t="str">
        <f>IF('1 Certification'!B7=0,"",'1 Certification'!B7)</f>
        <v/>
      </c>
      <c r="B7" s="1051"/>
      <c r="C7" s="1051"/>
      <c r="D7" s="1051"/>
      <c r="E7" s="1052">
        <f>'1 Certification'!F7</f>
        <v>0</v>
      </c>
      <c r="F7" s="1051"/>
      <c r="G7" s="1051"/>
      <c r="H7" s="1051"/>
      <c r="I7" s="1053"/>
    </row>
    <row r="8" spans="1:16" x14ac:dyDescent="0.25">
      <c r="A8" s="1043" t="s">
        <v>21</v>
      </c>
      <c r="B8" s="1044"/>
      <c r="C8" s="1044"/>
      <c r="D8" s="1044"/>
      <c r="E8" s="1045" t="s">
        <v>297</v>
      </c>
      <c r="F8" s="1044"/>
      <c r="G8" s="1044"/>
      <c r="H8" s="1044"/>
      <c r="I8" s="1057"/>
    </row>
    <row r="9" spans="1:16" ht="16.5" thickBot="1" x14ac:dyDescent="0.3">
      <c r="A9" s="1058">
        <f>'1 Certification'!B9</f>
        <v>0</v>
      </c>
      <c r="B9" s="1059"/>
      <c r="C9" s="1059"/>
      <c r="D9" s="1059"/>
      <c r="E9" s="1060">
        <f>'1 Certification'!F9</f>
        <v>0</v>
      </c>
      <c r="F9" s="1059"/>
      <c r="G9" s="1059"/>
      <c r="H9" s="1059"/>
      <c r="I9" s="1061"/>
    </row>
    <row r="10" spans="1:16" ht="15.6" customHeight="1" thickBot="1" x14ac:dyDescent="0.3">
      <c r="A10" s="260"/>
      <c r="B10" s="260"/>
      <c r="C10" s="260"/>
      <c r="D10" s="260"/>
      <c r="E10" s="260"/>
      <c r="F10" s="260"/>
      <c r="G10" s="260"/>
      <c r="H10" s="260"/>
      <c r="I10" s="260"/>
    </row>
    <row r="11" spans="1:16" ht="19.5" thickBot="1" x14ac:dyDescent="0.3">
      <c r="A11" s="1081" t="s">
        <v>221</v>
      </c>
      <c r="B11" s="1082"/>
      <c r="C11" s="1082"/>
      <c r="D11" s="1082"/>
      <c r="E11" s="1083"/>
      <c r="F11" s="261"/>
      <c r="G11" s="262"/>
      <c r="H11" s="262"/>
      <c r="I11" s="262"/>
      <c r="J11" s="262"/>
      <c r="K11" s="262"/>
      <c r="L11" s="262"/>
      <c r="M11" s="262"/>
      <c r="N11" s="262"/>
      <c r="O11" s="262"/>
      <c r="P11" s="263"/>
    </row>
    <row r="12" spans="1:16" s="245" customFormat="1" ht="40.5" customHeight="1" thickBot="1" x14ac:dyDescent="0.3">
      <c r="A12" s="264"/>
      <c r="B12" s="265" t="s">
        <v>63</v>
      </c>
      <c r="C12" s="265" t="s">
        <v>64</v>
      </c>
      <c r="D12" s="266" t="s">
        <v>65</v>
      </c>
      <c r="E12" s="267" t="s">
        <v>66</v>
      </c>
      <c r="F12" s="1122"/>
      <c r="G12" s="1123"/>
      <c r="H12" s="268"/>
      <c r="I12" s="268"/>
      <c r="J12" s="268"/>
      <c r="K12" s="268"/>
      <c r="L12" s="268"/>
      <c r="M12" s="268"/>
      <c r="N12" s="268"/>
      <c r="O12" s="269"/>
    </row>
    <row r="13" spans="1:16" ht="15.6" customHeight="1" x14ac:dyDescent="0.25">
      <c r="A13" s="270" t="s">
        <v>67</v>
      </c>
      <c r="B13" s="779"/>
      <c r="C13" s="780"/>
      <c r="D13" s="779"/>
      <c r="E13" s="658"/>
      <c r="I13" s="262"/>
      <c r="J13" s="262"/>
      <c r="K13" s="262"/>
      <c r="L13" s="262"/>
      <c r="M13" s="262"/>
      <c r="O13" s="263"/>
      <c r="P13" s="263"/>
    </row>
    <row r="14" spans="1:16" ht="15.6" customHeight="1" x14ac:dyDescent="0.25">
      <c r="A14" s="271" t="s">
        <v>68</v>
      </c>
      <c r="B14" s="781"/>
      <c r="C14" s="782"/>
      <c r="D14" s="781"/>
      <c r="E14" s="272"/>
      <c r="F14" s="1119"/>
      <c r="G14" s="1120"/>
      <c r="J14" s="262"/>
      <c r="K14" s="262"/>
      <c r="L14" s="262"/>
      <c r="M14" s="262"/>
      <c r="O14" s="263"/>
      <c r="P14" s="263"/>
    </row>
    <row r="15" spans="1:16" ht="15.6" customHeight="1" x14ac:dyDescent="0.25">
      <c r="A15" s="271" t="s">
        <v>69</v>
      </c>
      <c r="B15" s="781"/>
      <c r="C15" s="782"/>
      <c r="D15" s="781"/>
      <c r="E15" s="272"/>
      <c r="F15" s="273"/>
      <c r="J15" s="262"/>
      <c r="K15" s="262"/>
      <c r="L15" s="262"/>
      <c r="M15" s="262"/>
      <c r="O15" s="263"/>
      <c r="P15" s="263"/>
    </row>
    <row r="16" spans="1:16" ht="15.6" customHeight="1" x14ac:dyDescent="0.25">
      <c r="A16" s="271" t="s">
        <v>206</v>
      </c>
      <c r="B16" s="781"/>
      <c r="C16" s="782"/>
      <c r="D16" s="781"/>
      <c r="E16" s="272"/>
      <c r="F16" s="273"/>
      <c r="J16" s="262"/>
      <c r="K16" s="262"/>
      <c r="L16" s="262"/>
      <c r="M16" s="262"/>
      <c r="O16" s="263"/>
      <c r="P16" s="263"/>
    </row>
    <row r="17" spans="1:20" ht="15.6" customHeight="1" thickBot="1" x14ac:dyDescent="0.3">
      <c r="A17" s="274" t="s">
        <v>208</v>
      </c>
      <c r="B17" s="783"/>
      <c r="C17" s="784"/>
      <c r="D17" s="783"/>
      <c r="E17" s="275"/>
      <c r="G17" s="1118" t="str">
        <f>Directions!N8</f>
        <v>Version 2.1</v>
      </c>
      <c r="H17" s="1118"/>
      <c r="J17" s="262"/>
      <c r="K17" s="262"/>
      <c r="L17" s="262"/>
      <c r="M17" s="262"/>
      <c r="O17" s="263"/>
      <c r="P17" s="263"/>
    </row>
    <row r="18" spans="1:20" ht="15.6" customHeight="1" thickBot="1" x14ac:dyDescent="0.3">
      <c r="A18" s="260"/>
      <c r="B18" s="276"/>
      <c r="C18" s="276"/>
      <c r="D18" s="262"/>
      <c r="E18" s="262"/>
      <c r="F18" s="277"/>
      <c r="K18" s="280"/>
      <c r="L18" s="262"/>
      <c r="M18" s="262"/>
      <c r="N18" s="262"/>
      <c r="O18" s="262"/>
      <c r="P18" s="262"/>
      <c r="R18" s="263"/>
      <c r="S18" s="263"/>
    </row>
    <row r="19" spans="1:20" ht="15.6" customHeight="1" thickBot="1" x14ac:dyDescent="0.3">
      <c r="A19" s="1081" t="s">
        <v>235</v>
      </c>
      <c r="B19" s="1082"/>
      <c r="C19" s="1082"/>
      <c r="D19" s="1083"/>
      <c r="E19" s="244"/>
      <c r="F19" s="244"/>
      <c r="H19" s="278"/>
      <c r="I19" s="279"/>
      <c r="L19" s="280"/>
      <c r="M19" s="262"/>
      <c r="N19" s="262"/>
      <c r="O19" s="262"/>
      <c r="P19" s="262"/>
      <c r="Q19" s="262"/>
      <c r="S19" s="263"/>
      <c r="T19" s="263"/>
    </row>
    <row r="20" spans="1:20" ht="15.6" customHeight="1" x14ac:dyDescent="0.25">
      <c r="A20" s="1124" t="s">
        <v>236</v>
      </c>
      <c r="B20" s="1126" t="s">
        <v>238</v>
      </c>
      <c r="C20" s="1079" t="s">
        <v>271</v>
      </c>
      <c r="D20" s="1116" t="s">
        <v>237</v>
      </c>
      <c r="E20" s="1121" t="str">
        <f>IF(AND(E17&gt;0,OR(A22=0,B22=0,C22=0,D22=0)),"PLEASE FILL TABLE","")</f>
        <v/>
      </c>
      <c r="F20" s="245"/>
      <c r="G20" s="770"/>
      <c r="H20" s="770"/>
      <c r="L20" s="280"/>
      <c r="M20" s="262"/>
      <c r="N20" s="262"/>
      <c r="O20" s="262"/>
      <c r="P20" s="262"/>
      <c r="Q20" s="262"/>
      <c r="S20" s="263"/>
      <c r="T20" s="263"/>
    </row>
    <row r="21" spans="1:20" ht="15.6" customHeight="1" x14ac:dyDescent="0.25">
      <c r="A21" s="1125"/>
      <c r="B21" s="1127"/>
      <c r="C21" s="1080"/>
      <c r="D21" s="1117"/>
      <c r="E21" s="1121"/>
      <c r="F21" s="281"/>
      <c r="G21" s="770"/>
      <c r="H21" s="770"/>
      <c r="L21" s="280"/>
      <c r="M21" s="262"/>
      <c r="N21" s="262"/>
      <c r="O21" s="262"/>
      <c r="P21" s="262"/>
      <c r="Q21" s="262"/>
      <c r="S21" s="263"/>
      <c r="T21" s="263"/>
    </row>
    <row r="22" spans="1:20" ht="16.5" thickBot="1" x14ac:dyDescent="0.3">
      <c r="A22" s="552"/>
      <c r="B22" s="553"/>
      <c r="C22" s="554"/>
      <c r="D22" s="553"/>
      <c r="H22" s="282"/>
      <c r="I22" s="279"/>
      <c r="J22" s="283"/>
      <c r="L22" s="280"/>
      <c r="M22" s="262"/>
      <c r="N22" s="262"/>
      <c r="O22" s="262"/>
      <c r="P22" s="262"/>
      <c r="Q22" s="262"/>
      <c r="S22" s="263"/>
      <c r="T22" s="263"/>
    </row>
    <row r="23" spans="1:20" ht="16.5" thickBot="1" x14ac:dyDescent="0.3">
      <c r="H23" s="282"/>
      <c r="I23" s="279"/>
      <c r="J23" s="283"/>
      <c r="L23" s="280"/>
      <c r="M23" s="262"/>
      <c r="N23" s="262"/>
      <c r="O23" s="262"/>
      <c r="P23" s="262"/>
      <c r="Q23" s="262"/>
      <c r="S23" s="263"/>
      <c r="T23" s="263"/>
    </row>
    <row r="24" spans="1:20" ht="16.5" thickBot="1" x14ac:dyDescent="0.3">
      <c r="A24" s="1081" t="s">
        <v>262</v>
      </c>
      <c r="B24" s="1082"/>
      <c r="C24" s="1083"/>
      <c r="D24" s="245"/>
      <c r="E24" s="276"/>
      <c r="H24" s="282"/>
      <c r="I24" s="279"/>
      <c r="J24" s="283"/>
      <c r="L24" s="280"/>
      <c r="M24" s="262"/>
      <c r="N24" s="262"/>
      <c r="O24" s="262"/>
      <c r="P24" s="262"/>
      <c r="Q24" s="262"/>
      <c r="S24" s="263"/>
      <c r="T24" s="263"/>
    </row>
    <row r="25" spans="1:20" ht="16.5" thickBot="1" x14ac:dyDescent="0.3">
      <c r="A25" s="1077" t="s">
        <v>449</v>
      </c>
      <c r="B25" s="1078"/>
      <c r="C25" s="284"/>
      <c r="D25" s="245"/>
      <c r="E25" s="276"/>
      <c r="H25" s="282"/>
      <c r="I25" s="279"/>
      <c r="J25" s="283"/>
      <c r="L25" s="280"/>
      <c r="M25" s="262"/>
      <c r="N25" s="262"/>
      <c r="O25" s="262"/>
      <c r="P25" s="262"/>
      <c r="Q25" s="262"/>
      <c r="S25" s="263"/>
      <c r="T25" s="263"/>
    </row>
    <row r="26" spans="1:20" ht="16.5" thickBot="1" x14ac:dyDescent="0.3">
      <c r="A26" s="1084" t="s">
        <v>558</v>
      </c>
      <c r="B26" s="1085"/>
      <c r="C26" s="284"/>
      <c r="D26" s="245"/>
      <c r="E26" s="276"/>
      <c r="H26" s="282"/>
      <c r="I26" s="279"/>
      <c r="J26" s="283"/>
      <c r="L26" s="280"/>
      <c r="M26" s="262"/>
      <c r="N26" s="262"/>
      <c r="O26" s="262"/>
      <c r="P26" s="262"/>
      <c r="Q26" s="262"/>
      <c r="S26" s="263"/>
      <c r="T26" s="263"/>
    </row>
    <row r="27" spans="1:20" ht="16.5" thickBot="1" x14ac:dyDescent="0.3">
      <c r="A27" s="1084" t="s">
        <v>261</v>
      </c>
      <c r="B27" s="1085"/>
      <c r="C27" s="286">
        <f>IF(C25="E",'6 Agg Analysis'!AF48,IF(C25="C",'6 Agg Analysis'!AF47,IF(C25="B",'6 Agg Analysis'!AF46,'6 Agg Analysis'!AF45)))</f>
        <v>500</v>
      </c>
      <c r="D27" s="276"/>
      <c r="E27" s="276"/>
      <c r="H27" s="282"/>
      <c r="I27" s="279"/>
      <c r="J27" s="283"/>
      <c r="L27" s="280"/>
      <c r="M27" s="262"/>
      <c r="N27" s="262"/>
      <c r="O27" s="262"/>
      <c r="P27" s="262"/>
      <c r="Q27" s="262"/>
      <c r="S27" s="263"/>
      <c r="T27" s="263"/>
    </row>
    <row r="28" spans="1:20" ht="16.5" thickBot="1" x14ac:dyDescent="0.3">
      <c r="A28" s="1084" t="s">
        <v>455</v>
      </c>
      <c r="B28" s="1085"/>
      <c r="C28" s="285" t="str">
        <f>IF(C25=0,"GRADE?",IF(C26=0,"CLASS?",IF(AND(C26="Class I: Pavement",OR(C25="A",C25="C")),'6 Agg Analysis'!AB45,IF(AND(C26="Class I: Barrier",OR(C25="A",C25="C")),'6 Agg Analysis'!AB46,IF(AND(C26="Class I: Structures",C25="A"),'6 Agg Analysis'!AB47,IF(C25="E",'6 Agg Analysis'!AB50,IF(C25="B",'6 Agg Analysis'!AB51,'6 Agg Analysis'!$AB$47)))))))</f>
        <v>GRADE?</v>
      </c>
      <c r="D28" s="276"/>
      <c r="H28" s="282"/>
      <c r="I28" s="279"/>
      <c r="J28" s="283"/>
      <c r="L28" s="280"/>
      <c r="M28" s="262"/>
      <c r="N28" s="262"/>
      <c r="O28" s="262"/>
      <c r="P28" s="262"/>
      <c r="Q28" s="262"/>
      <c r="S28" s="263"/>
      <c r="T28" s="263"/>
    </row>
    <row r="29" spans="1:20" ht="16.5" thickBot="1" x14ac:dyDescent="0.3">
      <c r="A29" s="287"/>
      <c r="B29" s="288"/>
      <c r="C29" s="268"/>
      <c r="D29" s="276"/>
      <c r="E29" s="276"/>
      <c r="H29" s="282"/>
      <c r="I29" s="279"/>
      <c r="J29" s="283"/>
      <c r="L29" s="280"/>
      <c r="M29" s="262"/>
      <c r="N29" s="262"/>
      <c r="O29" s="262"/>
      <c r="P29" s="262"/>
      <c r="Q29" s="262"/>
      <c r="S29" s="263"/>
      <c r="T29" s="263"/>
    </row>
    <row r="30" spans="1:20" ht="16.5" thickBot="1" x14ac:dyDescent="0.3">
      <c r="A30" s="1081" t="s">
        <v>207</v>
      </c>
      <c r="B30" s="1082"/>
      <c r="C30" s="1083"/>
      <c r="D30" s="276"/>
      <c r="E30" s="276"/>
      <c r="H30" s="282"/>
      <c r="I30" s="279"/>
      <c r="J30" s="283"/>
      <c r="L30" s="280"/>
      <c r="M30" s="262"/>
      <c r="N30" s="262"/>
      <c r="O30" s="262"/>
      <c r="P30" s="262"/>
      <c r="Q30" s="262"/>
      <c r="S30" s="263"/>
      <c r="T30" s="263"/>
    </row>
    <row r="31" spans="1:20" x14ac:dyDescent="0.25">
      <c r="A31" s="289" t="s">
        <v>254</v>
      </c>
      <c r="B31" s="555"/>
      <c r="C31" s="290" t="str">
        <f>IF(B31&lt;C27,"FAIL","PASS")</f>
        <v>FAIL</v>
      </c>
      <c r="D31" s="276"/>
      <c r="E31" s="276"/>
      <c r="H31" s="282"/>
      <c r="I31" s="279"/>
      <c r="J31" s="283"/>
      <c r="L31" s="280"/>
      <c r="M31" s="262"/>
      <c r="N31" s="262"/>
      <c r="O31" s="262"/>
      <c r="P31" s="262"/>
      <c r="Q31" s="262"/>
      <c r="S31" s="263"/>
      <c r="T31" s="263"/>
    </row>
    <row r="32" spans="1:20" x14ac:dyDescent="0.25">
      <c r="A32" s="291" t="s">
        <v>330</v>
      </c>
      <c r="B32" s="292"/>
      <c r="C32" s="293" t="str">
        <f>IF(B32="","w/cm ?",IF(B32&lt;=C28,"PASS","FAIL"))</f>
        <v>w/cm ?</v>
      </c>
      <c r="D32" s="276"/>
      <c r="E32" s="276"/>
      <c r="H32" s="282"/>
      <c r="I32" s="279"/>
      <c r="J32" s="283"/>
      <c r="L32" s="280"/>
      <c r="M32" s="262"/>
      <c r="N32" s="262"/>
      <c r="O32" s="262"/>
      <c r="P32" s="262"/>
      <c r="Q32" s="262"/>
      <c r="S32" s="263"/>
      <c r="T32" s="263"/>
    </row>
    <row r="33" spans="1:20" x14ac:dyDescent="0.25">
      <c r="A33" s="291" t="s">
        <v>361</v>
      </c>
      <c r="B33" s="294"/>
      <c r="C33" s="295" t="str">
        <f>IF(OR(B33=0,B33=""),"AIR ?","PASS")</f>
        <v>AIR ?</v>
      </c>
      <c r="D33" s="276"/>
      <c r="E33" s="276"/>
      <c r="H33" s="282"/>
      <c r="I33" s="279"/>
      <c r="J33" s="283"/>
      <c r="L33" s="280"/>
      <c r="M33" s="262"/>
      <c r="N33" s="262"/>
      <c r="O33" s="262"/>
      <c r="P33" s="262"/>
      <c r="Q33" s="262"/>
      <c r="S33" s="263"/>
      <c r="T33" s="263"/>
    </row>
    <row r="34" spans="1:20" x14ac:dyDescent="0.25">
      <c r="A34" s="291" t="s">
        <v>166</v>
      </c>
      <c r="B34" s="292"/>
      <c r="C34" s="296" t="s">
        <v>167</v>
      </c>
      <c r="D34" s="276"/>
      <c r="E34" s="262"/>
      <c r="H34" s="282"/>
      <c r="I34" s="279"/>
      <c r="J34" s="283"/>
      <c r="L34" s="280"/>
      <c r="M34" s="262"/>
      <c r="N34" s="262"/>
      <c r="O34" s="262"/>
      <c r="P34" s="262"/>
      <c r="Q34" s="262"/>
      <c r="S34" s="263"/>
      <c r="T34" s="263"/>
    </row>
    <row r="35" spans="1:20" x14ac:dyDescent="0.25">
      <c r="A35" s="291" t="s">
        <v>168</v>
      </c>
      <c r="B35" s="297"/>
      <c r="C35" s="298" t="s">
        <v>172</v>
      </c>
      <c r="D35" s="276"/>
      <c r="E35" s="262"/>
      <c r="H35" s="282"/>
      <c r="I35" s="279"/>
      <c r="J35" s="283"/>
      <c r="L35" s="280"/>
      <c r="M35" s="262"/>
      <c r="N35" s="262"/>
      <c r="O35" s="262"/>
      <c r="P35" s="262"/>
      <c r="Q35" s="262"/>
      <c r="S35" s="263"/>
      <c r="T35" s="263"/>
    </row>
    <row r="36" spans="1:20" ht="16.5" thickBot="1" x14ac:dyDescent="0.3">
      <c r="A36" s="299" t="s">
        <v>121</v>
      </c>
      <c r="B36" s="300"/>
      <c r="C36" s="301" t="str">
        <f>IF(OR(B36=0,B36=""),"VOID CONT.?","PASS")</f>
        <v>VOID CONT.?</v>
      </c>
      <c r="D36" s="302" t="str">
        <f>IF(ISERROR('5 Unit Wt_Voids in Agg'!M29),"", '5 Unit Wt_Voids in Agg'!M29)</f>
        <v/>
      </c>
      <c r="E36" s="303" t="s">
        <v>341</v>
      </c>
      <c r="H36" s="282"/>
      <c r="I36" s="279"/>
      <c r="J36" s="283"/>
      <c r="L36" s="280"/>
      <c r="M36" s="262"/>
      <c r="N36" s="262"/>
      <c r="O36" s="262"/>
      <c r="P36" s="262"/>
      <c r="Q36" s="262"/>
      <c r="S36" s="263"/>
      <c r="T36" s="263"/>
    </row>
    <row r="37" spans="1:20" ht="16.5" thickBot="1" x14ac:dyDescent="0.3">
      <c r="A37" s="1081" t="s">
        <v>263</v>
      </c>
      <c r="B37" s="1082"/>
      <c r="C37" s="1083"/>
      <c r="D37" s="276"/>
      <c r="E37" s="262"/>
      <c r="H37" s="282"/>
      <c r="I37" s="279"/>
      <c r="J37" s="283"/>
      <c r="L37" s="280"/>
      <c r="M37" s="262"/>
      <c r="N37" s="262"/>
      <c r="O37" s="262"/>
      <c r="P37" s="262"/>
      <c r="Q37" s="262"/>
      <c r="S37" s="263"/>
      <c r="T37" s="263"/>
    </row>
    <row r="38" spans="1:20" x14ac:dyDescent="0.25">
      <c r="A38" s="291" t="s">
        <v>68</v>
      </c>
      <c r="B38" s="304"/>
      <c r="C38" s="305" t="s">
        <v>264</v>
      </c>
      <c r="D38" s="276"/>
      <c r="E38" s="262"/>
      <c r="H38" s="282"/>
      <c r="I38" s="279"/>
      <c r="J38" s="283"/>
      <c r="L38" s="280"/>
      <c r="M38" s="262"/>
      <c r="N38" s="262"/>
      <c r="O38" s="262"/>
      <c r="P38" s="262"/>
      <c r="Q38" s="262"/>
      <c r="S38" s="263"/>
      <c r="T38" s="263"/>
    </row>
    <row r="39" spans="1:20" x14ac:dyDescent="0.25">
      <c r="A39" s="291" t="s">
        <v>72</v>
      </c>
      <c r="B39" s="304"/>
      <c r="C39" s="306" t="s">
        <v>264</v>
      </c>
      <c r="D39" s="276"/>
      <c r="E39" s="262"/>
      <c r="H39" s="282"/>
      <c r="I39" s="279"/>
      <c r="J39" s="283"/>
      <c r="L39" s="280"/>
      <c r="M39" s="262"/>
      <c r="N39" s="262"/>
      <c r="O39" s="262"/>
      <c r="P39" s="262"/>
      <c r="Q39" s="262"/>
      <c r="S39" s="263"/>
      <c r="T39" s="263"/>
    </row>
    <row r="40" spans="1:20" ht="15.6" customHeight="1" x14ac:dyDescent="0.25">
      <c r="A40" s="291" t="s">
        <v>206</v>
      </c>
      <c r="B40" s="304"/>
      <c r="C40" s="306" t="s">
        <v>264</v>
      </c>
      <c r="D40" s="276"/>
      <c r="E40" s="262"/>
    </row>
    <row r="41" spans="1:20" x14ac:dyDescent="0.25">
      <c r="A41" s="291" t="s">
        <v>208</v>
      </c>
      <c r="B41" s="304"/>
      <c r="C41" s="306" t="s">
        <v>264</v>
      </c>
      <c r="D41" s="276"/>
      <c r="E41" s="262"/>
      <c r="H41" s="278"/>
      <c r="I41" s="279"/>
    </row>
    <row r="42" spans="1:20" ht="19.5" thickBot="1" x14ac:dyDescent="0.35">
      <c r="A42" s="307" t="s">
        <v>209</v>
      </c>
      <c r="B42" s="308">
        <f>IF(SUM(B38:B41)&lt;=30,SUM(B38:B41),"ERROR: &gt;30%")</f>
        <v>0</v>
      </c>
      <c r="C42" s="309" t="s">
        <v>264</v>
      </c>
      <c r="D42" s="276"/>
      <c r="E42" s="262"/>
      <c r="H42" s="310"/>
      <c r="I42" s="310"/>
    </row>
    <row r="43" spans="1:20" ht="15.6" customHeight="1" thickBot="1" x14ac:dyDescent="0.3">
      <c r="A43" s="312"/>
      <c r="B43" s="313"/>
      <c r="C43" s="279"/>
      <c r="D43" s="276"/>
      <c r="E43" s="262"/>
      <c r="L43" s="311"/>
      <c r="M43" s="311"/>
      <c r="N43" s="311"/>
    </row>
    <row r="44" spans="1:20" ht="15.6" customHeight="1" thickBot="1" x14ac:dyDescent="0.3">
      <c r="A44" s="1081" t="s">
        <v>73</v>
      </c>
      <c r="B44" s="1082"/>
      <c r="C44" s="1082"/>
      <c r="D44" s="1082"/>
      <c r="E44" s="1082"/>
      <c r="F44" s="1082"/>
      <c r="G44" s="1083"/>
      <c r="H44" s="1100" t="str">
        <f>IF(C46="Municipal","No Test Number Required",IF(AND(C46&lt;&gt;"Municipal",F46=""),"Test Number Required",""))</f>
        <v>No Test Number Required</v>
      </c>
      <c r="I44" s="1101"/>
      <c r="L44" s="311"/>
      <c r="M44" s="311"/>
      <c r="N44" s="311"/>
    </row>
    <row r="45" spans="1:20" ht="15.6" customHeight="1" thickBot="1" x14ac:dyDescent="0.35">
      <c r="A45" s="318"/>
      <c r="B45" s="319" t="s">
        <v>74</v>
      </c>
      <c r="C45" s="314" t="s">
        <v>446</v>
      </c>
      <c r="D45" s="1110" t="s">
        <v>170</v>
      </c>
      <c r="E45" s="1110"/>
      <c r="F45" s="319" t="s">
        <v>171</v>
      </c>
      <c r="G45" s="320" t="s">
        <v>239</v>
      </c>
      <c r="H45" s="1100"/>
      <c r="I45" s="1101"/>
      <c r="L45" s="311"/>
      <c r="M45" s="311"/>
      <c r="N45" s="311"/>
    </row>
    <row r="46" spans="1:20" ht="16.5" thickBot="1" x14ac:dyDescent="0.3">
      <c r="A46" s="321" t="s">
        <v>75</v>
      </c>
      <c r="B46" s="322" t="str">
        <f>IF(ISNUMBER('4 Mix Design'!D24/8.34),'4 Mix Design'!D24/8.33,"")</f>
        <v/>
      </c>
      <c r="C46" s="502" t="s">
        <v>399</v>
      </c>
      <c r="D46" s="1111"/>
      <c r="E46" s="1112"/>
      <c r="F46" s="502"/>
      <c r="G46" s="323">
        <v>1</v>
      </c>
      <c r="H46" s="1100"/>
      <c r="I46" s="1101"/>
      <c r="J46" s="311"/>
      <c r="K46" s="311"/>
      <c r="L46" s="311"/>
      <c r="M46" s="311"/>
      <c r="N46" s="311"/>
    </row>
    <row r="47" spans="1:20" ht="15.6" customHeight="1" thickBot="1" x14ac:dyDescent="0.3">
      <c r="A47" s="749"/>
      <c r="D47" s="750"/>
      <c r="E47" s="563"/>
      <c r="F47" s="563"/>
      <c r="H47" s="311"/>
      <c r="I47" s="311"/>
      <c r="J47" s="311"/>
      <c r="K47" s="311"/>
      <c r="L47" s="311"/>
      <c r="M47" s="311"/>
      <c r="N47" s="311"/>
    </row>
    <row r="48" spans="1:20" ht="15.6" customHeight="1" thickBot="1" x14ac:dyDescent="0.3">
      <c r="A48" s="1081" t="s">
        <v>76</v>
      </c>
      <c r="B48" s="1082"/>
      <c r="C48" s="1082"/>
      <c r="D48" s="1082"/>
      <c r="E48" s="1082"/>
      <c r="F48" s="1082"/>
      <c r="G48" s="1083"/>
      <c r="H48" s="311"/>
      <c r="I48" s="311"/>
      <c r="J48" s="311"/>
      <c r="K48" s="311"/>
      <c r="L48" s="311"/>
      <c r="M48" s="311"/>
      <c r="N48" s="311"/>
    </row>
    <row r="49" spans="1:14" ht="19.5" thickBot="1" x14ac:dyDescent="0.35">
      <c r="A49" s="324"/>
      <c r="B49" s="1099" t="s">
        <v>77</v>
      </c>
      <c r="C49" s="1090"/>
      <c r="D49" s="1102" t="s">
        <v>313</v>
      </c>
      <c r="E49" s="1103"/>
      <c r="F49" s="1090" t="s">
        <v>156</v>
      </c>
      <c r="G49" s="1091"/>
      <c r="H49" s="311"/>
      <c r="I49" s="311"/>
      <c r="J49" s="311"/>
      <c r="K49" s="311"/>
      <c r="L49" s="311"/>
      <c r="M49" s="311"/>
      <c r="N49" s="311"/>
    </row>
    <row r="50" spans="1:14" x14ac:dyDescent="0.25">
      <c r="A50" s="325">
        <v>1</v>
      </c>
      <c r="B50" s="1096"/>
      <c r="C50" s="1107"/>
      <c r="D50" s="1096"/>
      <c r="E50" s="1097"/>
      <c r="F50" s="1108"/>
      <c r="G50" s="1109"/>
      <c r="L50" s="317"/>
    </row>
    <row r="51" spans="1:14" x14ac:dyDescent="0.25">
      <c r="A51" s="326">
        <v>2</v>
      </c>
      <c r="B51" s="1092"/>
      <c r="C51" s="1093"/>
      <c r="D51" s="1092"/>
      <c r="E51" s="1098"/>
      <c r="F51" s="1094"/>
      <c r="G51" s="1095"/>
    </row>
    <row r="52" spans="1:14" ht="16.149999999999999" customHeight="1" x14ac:dyDescent="0.25">
      <c r="A52" s="326">
        <v>3</v>
      </c>
      <c r="B52" s="1092"/>
      <c r="C52" s="1093"/>
      <c r="D52" s="1092"/>
      <c r="E52" s="1098"/>
      <c r="F52" s="1094"/>
      <c r="G52" s="1095"/>
    </row>
    <row r="53" spans="1:14" ht="16.5" thickBot="1" x14ac:dyDescent="0.3">
      <c r="A53" s="327">
        <v>4</v>
      </c>
      <c r="B53" s="1088"/>
      <c r="C53" s="1104"/>
      <c r="D53" s="1088"/>
      <c r="E53" s="1089"/>
      <c r="F53" s="1105"/>
      <c r="G53" s="1106"/>
    </row>
    <row r="55" spans="1:14" x14ac:dyDescent="0.25">
      <c r="A55" s="262"/>
      <c r="B55" s="262"/>
      <c r="C55" s="262"/>
      <c r="D55" s="262"/>
    </row>
    <row r="62" spans="1:14" x14ac:dyDescent="0.25">
      <c r="F62" s="276"/>
      <c r="G62" s="277"/>
    </row>
    <row r="63" spans="1:14" x14ac:dyDescent="0.25">
      <c r="F63" s="276"/>
    </row>
    <row r="64" spans="1:14" x14ac:dyDescent="0.25">
      <c r="F64" s="276"/>
    </row>
    <row r="65" spans="1:7" x14ac:dyDescent="0.25">
      <c r="F65" s="276"/>
      <c r="G65" s="312"/>
    </row>
    <row r="66" spans="1:7" x14ac:dyDescent="0.25">
      <c r="F66" s="276"/>
      <c r="G66" s="312"/>
    </row>
    <row r="67" spans="1:7" x14ac:dyDescent="0.25">
      <c r="F67" s="262"/>
      <c r="G67" s="312"/>
    </row>
    <row r="68" spans="1:7" x14ac:dyDescent="0.25">
      <c r="F68" s="262"/>
      <c r="G68" s="312"/>
    </row>
    <row r="69" spans="1:7" x14ac:dyDescent="0.25">
      <c r="F69" s="262"/>
      <c r="G69" s="312"/>
    </row>
    <row r="70" spans="1:7" x14ac:dyDescent="0.25">
      <c r="F70" s="262"/>
      <c r="G70" s="312"/>
    </row>
    <row r="71" spans="1:7" x14ac:dyDescent="0.25">
      <c r="F71" s="262"/>
      <c r="G71" s="312"/>
    </row>
    <row r="72" spans="1:7" x14ac:dyDescent="0.25">
      <c r="F72" s="262"/>
      <c r="G72" s="312"/>
    </row>
    <row r="73" spans="1:7" x14ac:dyDescent="0.25">
      <c r="F73" s="262"/>
      <c r="G73" s="312"/>
    </row>
    <row r="74" spans="1:7" x14ac:dyDescent="0.25">
      <c r="F74" s="262"/>
      <c r="G74" s="312"/>
    </row>
    <row r="75" spans="1:7" x14ac:dyDescent="0.25">
      <c r="F75" s="262"/>
    </row>
    <row r="76" spans="1:7" x14ac:dyDescent="0.25">
      <c r="A76" s="260"/>
      <c r="B76" s="276"/>
      <c r="C76" s="276"/>
      <c r="D76" s="276"/>
      <c r="E76" s="262"/>
      <c r="F76" s="262"/>
      <c r="G76" s="312"/>
    </row>
    <row r="77" spans="1:7" ht="18.75" x14ac:dyDescent="0.3">
      <c r="G77" s="310"/>
    </row>
    <row r="78" spans="1:7" x14ac:dyDescent="0.25">
      <c r="G78" s="245"/>
    </row>
    <row r="84" spans="1:7" x14ac:dyDescent="0.25">
      <c r="A84" s="260"/>
      <c r="C84" s="328"/>
      <c r="D84" s="329"/>
      <c r="G84" s="311"/>
    </row>
    <row r="85" spans="1:7" x14ac:dyDescent="0.25">
      <c r="A85" s="330"/>
      <c r="C85" s="229"/>
      <c r="D85" s="329"/>
      <c r="G85" s="311"/>
    </row>
    <row r="86" spans="1:7" x14ac:dyDescent="0.25">
      <c r="A86" s="1087"/>
      <c r="B86" s="1087"/>
      <c r="C86" s="1087"/>
      <c r="D86" s="276"/>
      <c r="G86" s="311"/>
    </row>
    <row r="89" spans="1:7" x14ac:dyDescent="0.25">
      <c r="F89" s="1086"/>
      <c r="G89" s="1086"/>
    </row>
    <row r="90" spans="1:7" x14ac:dyDescent="0.25">
      <c r="F90" s="1086"/>
      <c r="G90" s="1086"/>
    </row>
    <row r="103" spans="2:6" x14ac:dyDescent="0.25">
      <c r="D103" s="331"/>
      <c r="E103" s="332"/>
    </row>
    <row r="104" spans="2:6" x14ac:dyDescent="0.25">
      <c r="D104" s="331"/>
      <c r="E104" s="332"/>
    </row>
    <row r="105" spans="2:6" x14ac:dyDescent="0.25">
      <c r="D105" s="331"/>
      <c r="E105" s="332"/>
    </row>
    <row r="106" spans="2:6" x14ac:dyDescent="0.25">
      <c r="D106" s="331"/>
      <c r="E106" s="332"/>
    </row>
    <row r="107" spans="2:6" x14ac:dyDescent="0.25">
      <c r="D107" s="331"/>
      <c r="E107" s="332"/>
      <c r="F107" s="333"/>
    </row>
    <row r="108" spans="2:6" x14ac:dyDescent="0.25">
      <c r="B108" s="245"/>
      <c r="C108" s="245"/>
      <c r="D108" s="720"/>
      <c r="E108" s="721"/>
      <c r="F108" s="333"/>
    </row>
    <row r="109" spans="2:6" x14ac:dyDescent="0.25">
      <c r="D109" s="331"/>
      <c r="E109" s="332"/>
      <c r="F109" s="333"/>
    </row>
    <row r="110" spans="2:6" x14ac:dyDescent="0.25">
      <c r="F110" s="333"/>
    </row>
    <row r="111" spans="2:6" x14ac:dyDescent="0.25">
      <c r="F111" s="333"/>
    </row>
    <row r="112" spans="2:6" x14ac:dyDescent="0.25">
      <c r="F112" s="333"/>
    </row>
    <row r="113" spans="2:6" x14ac:dyDescent="0.25">
      <c r="F113" s="333"/>
    </row>
    <row r="114" spans="2:6" x14ac:dyDescent="0.25">
      <c r="B114" s="334"/>
      <c r="C114" s="335"/>
      <c r="D114" s="335"/>
    </row>
    <row r="115" spans="2:6" x14ac:dyDescent="0.25">
      <c r="B115" s="334"/>
      <c r="C115" s="335"/>
      <c r="D115" s="335"/>
    </row>
    <row r="116" spans="2:6" x14ac:dyDescent="0.25">
      <c r="B116" s="334"/>
      <c r="C116" s="335"/>
      <c r="D116" s="335"/>
    </row>
    <row r="117" spans="2:6" x14ac:dyDescent="0.25">
      <c r="B117" s="334"/>
      <c r="C117" s="335"/>
      <c r="D117" s="335"/>
    </row>
    <row r="118" spans="2:6" x14ac:dyDescent="0.25">
      <c r="B118" s="334"/>
      <c r="C118" s="335"/>
      <c r="D118" s="335"/>
    </row>
    <row r="119" spans="2:6" x14ac:dyDescent="0.25">
      <c r="B119" s="334"/>
      <c r="C119" s="335"/>
      <c r="D119" s="335"/>
    </row>
    <row r="120" spans="2:6" x14ac:dyDescent="0.25">
      <c r="B120" s="334"/>
      <c r="C120" s="336"/>
      <c r="D120" s="337"/>
    </row>
    <row r="121" spans="2:6" x14ac:dyDescent="0.25">
      <c r="C121" s="336"/>
      <c r="D121" s="337"/>
    </row>
    <row r="122" spans="2:6" x14ac:dyDescent="0.25">
      <c r="C122" s="336"/>
      <c r="D122" s="337"/>
    </row>
    <row r="123" spans="2:6" x14ac:dyDescent="0.25">
      <c r="C123" s="336"/>
      <c r="D123" s="337"/>
    </row>
    <row r="124" spans="2:6" x14ac:dyDescent="0.25">
      <c r="C124" s="336"/>
      <c r="D124" s="337"/>
    </row>
    <row r="125" spans="2:6" x14ac:dyDescent="0.25">
      <c r="C125" s="336"/>
      <c r="D125" s="337"/>
    </row>
    <row r="126" spans="2:6" x14ac:dyDescent="0.25">
      <c r="C126" s="336"/>
      <c r="D126" s="337"/>
    </row>
    <row r="127" spans="2:6" x14ac:dyDescent="0.25">
      <c r="C127" s="336"/>
      <c r="D127" s="337"/>
    </row>
    <row r="128" spans="2:6" x14ac:dyDescent="0.25">
      <c r="C128" s="336"/>
      <c r="D128" s="337"/>
    </row>
    <row r="129" spans="3:12" x14ac:dyDescent="0.25">
      <c r="C129" s="336"/>
      <c r="D129" s="337"/>
    </row>
    <row r="131" spans="3:12" x14ac:dyDescent="0.25">
      <c r="E131" s="338"/>
    </row>
    <row r="132" spans="3:12" x14ac:dyDescent="0.25">
      <c r="D132" s="339"/>
      <c r="E132" s="338"/>
    </row>
    <row r="133" spans="3:12" x14ac:dyDescent="0.25">
      <c r="D133" s="339"/>
      <c r="E133" s="338"/>
    </row>
    <row r="134" spans="3:12" x14ac:dyDescent="0.25">
      <c r="D134" s="339"/>
      <c r="E134" s="338"/>
    </row>
    <row r="135" spans="3:12" x14ac:dyDescent="0.25">
      <c r="D135" s="339"/>
      <c r="E135" s="338"/>
    </row>
    <row r="136" spans="3:12" x14ac:dyDescent="0.25">
      <c r="D136" s="339"/>
      <c r="E136" s="338"/>
    </row>
    <row r="137" spans="3:12" x14ac:dyDescent="0.25">
      <c r="D137" s="339"/>
      <c r="E137" s="338"/>
      <c r="K137" s="338"/>
      <c r="L137" s="339"/>
    </row>
    <row r="138" spans="3:12" x14ac:dyDescent="0.25">
      <c r="D138" s="339"/>
      <c r="K138" s="338"/>
      <c r="L138" s="339"/>
    </row>
    <row r="139" spans="3:12" x14ac:dyDescent="0.25">
      <c r="D139" s="339"/>
      <c r="K139" s="338"/>
      <c r="L139" s="339"/>
    </row>
    <row r="140" spans="3:12" x14ac:dyDescent="0.25">
      <c r="D140" s="339"/>
      <c r="K140" s="338"/>
      <c r="L140" s="339"/>
    </row>
    <row r="141" spans="3:12" x14ac:dyDescent="0.25">
      <c r="D141" s="339"/>
      <c r="K141" s="338"/>
      <c r="L141" s="339"/>
    </row>
    <row r="142" spans="3:12" x14ac:dyDescent="0.25">
      <c r="D142" s="339"/>
      <c r="K142" s="338"/>
      <c r="L142" s="339"/>
    </row>
    <row r="143" spans="3:12" x14ac:dyDescent="0.25">
      <c r="D143" s="339"/>
      <c r="K143" s="338"/>
      <c r="L143" s="339"/>
    </row>
    <row r="144" spans="3:12" x14ac:dyDescent="0.25">
      <c r="D144" s="339"/>
    </row>
    <row r="146" spans="10:11" x14ac:dyDescent="0.25">
      <c r="J146" s="340"/>
      <c r="K146" s="340"/>
    </row>
    <row r="147" spans="10:11" x14ac:dyDescent="0.25">
      <c r="J147" s="228"/>
      <c r="K147" s="228"/>
    </row>
    <row r="162" spans="5:5" x14ac:dyDescent="0.25">
      <c r="E162" s="337"/>
    </row>
    <row r="163" spans="5:5" x14ac:dyDescent="0.25">
      <c r="E163" s="337"/>
    </row>
    <row r="164" spans="5:5" x14ac:dyDescent="0.25">
      <c r="E164" s="337"/>
    </row>
    <row r="165" spans="5:5" x14ac:dyDescent="0.25">
      <c r="E165" s="337"/>
    </row>
    <row r="166" spans="5:5" x14ac:dyDescent="0.25">
      <c r="E166" s="337"/>
    </row>
    <row r="167" spans="5:5" x14ac:dyDescent="0.25">
      <c r="E167" s="337"/>
    </row>
    <row r="168" spans="5:5" x14ac:dyDescent="0.25">
      <c r="E168" s="337"/>
    </row>
    <row r="169" spans="5:5" x14ac:dyDescent="0.25">
      <c r="E169" s="337"/>
    </row>
    <row r="170" spans="5:5" x14ac:dyDescent="0.25">
      <c r="E170" s="337"/>
    </row>
    <row r="171" spans="5:5" x14ac:dyDescent="0.25">
      <c r="E171" s="337"/>
    </row>
    <row r="172" spans="5:5" x14ac:dyDescent="0.25">
      <c r="E172" s="337"/>
    </row>
  </sheetData>
  <sheetProtection algorithmName="SHA-512" hashValue="5klM0NNQO2EWr1XqfAEm7eOXThoDD5zm6cLlJJJxIfCobZWSuWDRM4XCiEHOEw9ecVWf6loKeM98EF0a5CksOA==" saltValue="1dflFX9B9YKTGBbkCkP1JQ==" spinCount="100000" sheet="1" selectLockedCells="1"/>
  <mergeCells count="59">
    <mergeCell ref="E5:G5"/>
    <mergeCell ref="H5:I5"/>
    <mergeCell ref="A6:D6"/>
    <mergeCell ref="E6:I6"/>
    <mergeCell ref="A37:C37"/>
    <mergeCell ref="D20:D21"/>
    <mergeCell ref="G17:H17"/>
    <mergeCell ref="F14:G14"/>
    <mergeCell ref="E20:E21"/>
    <mergeCell ref="A26:B26"/>
    <mergeCell ref="A11:E11"/>
    <mergeCell ref="F12:G12"/>
    <mergeCell ref="A19:D19"/>
    <mergeCell ref="A20:A21"/>
    <mergeCell ref="B20:B21"/>
    <mergeCell ref="A30:C30"/>
    <mergeCell ref="A1:E1"/>
    <mergeCell ref="F1:I1"/>
    <mergeCell ref="A8:D8"/>
    <mergeCell ref="E8:I8"/>
    <mergeCell ref="A9:D9"/>
    <mergeCell ref="E9:I9"/>
    <mergeCell ref="A4:B4"/>
    <mergeCell ref="C4:D4"/>
    <mergeCell ref="E4:G4"/>
    <mergeCell ref="H4:I4"/>
    <mergeCell ref="A2:I2"/>
    <mergeCell ref="A3:G3"/>
    <mergeCell ref="A7:D7"/>
    <mergeCell ref="E7:I7"/>
    <mergeCell ref="A5:B5"/>
    <mergeCell ref="C5:D5"/>
    <mergeCell ref="H44:I46"/>
    <mergeCell ref="D49:E49"/>
    <mergeCell ref="B53:C53"/>
    <mergeCell ref="F53:G53"/>
    <mergeCell ref="B50:C50"/>
    <mergeCell ref="F50:G50"/>
    <mergeCell ref="B51:C51"/>
    <mergeCell ref="F51:G51"/>
    <mergeCell ref="A48:G48"/>
    <mergeCell ref="D45:E45"/>
    <mergeCell ref="D46:E46"/>
    <mergeCell ref="A44:G44"/>
    <mergeCell ref="F89:G90"/>
    <mergeCell ref="A86:C86"/>
    <mergeCell ref="D53:E53"/>
    <mergeCell ref="F49:G49"/>
    <mergeCell ref="B52:C52"/>
    <mergeCell ref="F52:G52"/>
    <mergeCell ref="D50:E50"/>
    <mergeCell ref="D51:E51"/>
    <mergeCell ref="D52:E52"/>
    <mergeCell ref="B49:C49"/>
    <mergeCell ref="A25:B25"/>
    <mergeCell ref="C20:C21"/>
    <mergeCell ref="A24:C24"/>
    <mergeCell ref="A28:B28"/>
    <mergeCell ref="A27:B27"/>
  </mergeCells>
  <conditionalFormatting sqref="B42">
    <cfRule type="cellIs" dxfId="110" priority="14" operator="equal">
      <formula>"ERROR: &gt;30%"</formula>
    </cfRule>
    <cfRule type="cellIs" dxfId="109" priority="15" operator="notEqual">
      <formula>"ERROR"</formula>
    </cfRule>
  </conditionalFormatting>
  <conditionalFormatting sqref="C27:C29">
    <cfRule type="cellIs" dxfId="108" priority="12" operator="equal">
      <formula>"CLASS?"</formula>
    </cfRule>
  </conditionalFormatting>
  <conditionalFormatting sqref="C31:C32">
    <cfRule type="cellIs" dxfId="107" priority="10" operator="equal">
      <formula>"FAIL"</formula>
    </cfRule>
    <cfRule type="cellIs" dxfId="106" priority="11" operator="equal">
      <formula>"PASS"</formula>
    </cfRule>
  </conditionalFormatting>
  <conditionalFormatting sqref="C32">
    <cfRule type="cellIs" dxfId="105" priority="9" operator="equal">
      <formula>"w/cm ?"</formula>
    </cfRule>
  </conditionalFormatting>
  <conditionalFormatting sqref="C33">
    <cfRule type="cellIs" dxfId="104" priority="7" operator="notEqual">
      <formula>"PASS"</formula>
    </cfRule>
    <cfRule type="cellIs" dxfId="103" priority="8" operator="equal">
      <formula>"PASS"</formula>
    </cfRule>
  </conditionalFormatting>
  <conditionalFormatting sqref="C36">
    <cfRule type="cellIs" dxfId="102" priority="5" operator="notEqual">
      <formula>"VOID CONT.?"</formula>
    </cfRule>
    <cfRule type="cellIs" dxfId="101" priority="6" operator="equal">
      <formula>"VOID CONT.?"</formula>
    </cfRule>
  </conditionalFormatting>
  <conditionalFormatting sqref="E20:E21">
    <cfRule type="cellIs" dxfId="100" priority="4" operator="equal">
      <formula>"PLEASE FILL TABLE"</formula>
    </cfRule>
  </conditionalFormatting>
  <conditionalFormatting sqref="H44">
    <cfRule type="cellIs" dxfId="99" priority="3" operator="equal">
      <formula>"No Test Number Required"</formula>
    </cfRule>
  </conditionalFormatting>
  <conditionalFormatting sqref="H44:I46">
    <cfRule type="cellIs" dxfId="98" priority="2" operator="equal">
      <formula>"Test Number Required"</formula>
    </cfRule>
  </conditionalFormatting>
  <conditionalFormatting sqref="C28">
    <cfRule type="cellIs" dxfId="97" priority="1" operator="equal">
      <formula>"GRADE?"</formula>
    </cfRule>
  </conditionalFormatting>
  <printOptions verticalCentered="1"/>
  <pageMargins left="0.25" right="0.25" top="0.75" bottom="0.75" header="0.3" footer="0.3"/>
  <pageSetup scale="57" orientation="landscape" r:id="rId1"/>
  <headerFooter>
    <oddFooter>&amp;L&amp;9&amp;A&amp;C&amp;9&amp;P of &amp;N&amp;R&amp;9&amp;F</oddFooter>
  </headerFooter>
  <colBreaks count="1" manualBreakCount="1">
    <brk id="9"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A5D152A-E5B7-4860-9F6F-578EED8ED061}">
          <x14:formula1>
            <xm:f>'6 Agg Analysis'!$AA$44:$AA$49</xm:f>
          </x14:formula1>
          <xm:sqref>C26</xm:sqref>
        </x14:dataValidation>
        <x14:dataValidation type="list" allowBlank="1" showInputMessage="1" showErrorMessage="1" xr:uid="{24667BE4-85DA-4C3F-AB35-50F3FD0153D5}">
          <x14:formula1>
            <xm:f>'6 Agg Analysis'!$AD$44:$AD$47</xm:f>
          </x14:formula1>
          <xm:sqref>C46</xm:sqref>
        </x14:dataValidation>
        <x14:dataValidation type="list" allowBlank="1" showInputMessage="1" showErrorMessage="1" xr:uid="{5D9D59AC-6900-48BB-B641-6B626D41E273}">
          <x14:formula1>
            <xm:f>'6 Agg Analysis'!$AE$44:$AE$48</xm:f>
          </x14:formula1>
          <xm:sqref>C25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B08F2-1E50-436C-8C86-631E6B75F762}">
  <dimension ref="A1:R108"/>
  <sheetViews>
    <sheetView showGridLines="0" zoomScale="80" zoomScaleNormal="80" zoomScaleSheetLayoutView="85" workbookViewId="0">
      <selection activeCell="D14" sqref="D14"/>
    </sheetView>
  </sheetViews>
  <sheetFormatPr defaultColWidth="8.7109375" defaultRowHeight="15.75" x14ac:dyDescent="0.25"/>
  <cols>
    <col min="1" max="1" width="19.42578125" style="344" customWidth="1"/>
    <col min="2" max="2" width="18.85546875" style="344" customWidth="1"/>
    <col min="3" max="3" width="14.5703125" style="344" customWidth="1"/>
    <col min="4" max="4" width="14.7109375" style="344" customWidth="1"/>
    <col min="5" max="5" width="14.42578125" style="344" customWidth="1"/>
    <col min="6" max="6" width="13.5703125" style="344" bestFit="1" customWidth="1"/>
    <col min="7" max="7" width="16.85546875" style="344" bestFit="1" customWidth="1"/>
    <col min="8" max="8" width="14.42578125" style="344" bestFit="1" customWidth="1"/>
    <col min="9" max="9" width="14.42578125" style="344" customWidth="1"/>
    <col min="10" max="11" width="21.7109375" style="344" customWidth="1"/>
    <col min="12" max="12" width="17.28515625" style="344" bestFit="1" customWidth="1"/>
    <col min="13" max="13" width="11.42578125" style="344" customWidth="1"/>
    <col min="14" max="14" width="8.7109375" style="344"/>
    <col min="15" max="15" width="6.140625" style="344" customWidth="1"/>
    <col min="16" max="16" width="14.85546875" style="344" hidden="1" customWidth="1"/>
    <col min="17" max="17" width="4.42578125" style="344" customWidth="1"/>
    <col min="18" max="16384" width="8.7109375" style="344"/>
  </cols>
  <sheetData>
    <row r="1" spans="1:16" s="259" customFormat="1" x14ac:dyDescent="0.25">
      <c r="A1" s="1039" t="s">
        <v>378</v>
      </c>
      <c r="B1" s="1040"/>
      <c r="C1" s="1040"/>
      <c r="D1" s="1040"/>
      <c r="E1" s="1040"/>
      <c r="F1" s="1037" t="s">
        <v>365</v>
      </c>
      <c r="G1" s="1037"/>
      <c r="H1" s="1037"/>
      <c r="I1" s="1038"/>
    </row>
    <row r="2" spans="1:16" s="259" customFormat="1" x14ac:dyDescent="0.25">
      <c r="A2" s="1148" t="str">
        <f>Directions!A2</f>
        <v>DT2221     08/2022</v>
      </c>
      <c r="B2" s="1149"/>
      <c r="C2" s="1149"/>
      <c r="D2" s="1149"/>
      <c r="E2" s="1149"/>
      <c r="F2" s="1149"/>
      <c r="G2" s="1149"/>
      <c r="H2" s="1149"/>
      <c r="I2" s="1150"/>
    </row>
    <row r="3" spans="1:16" s="259" customFormat="1" ht="15.6" customHeight="1" x14ac:dyDescent="0.25">
      <c r="A3" s="1048" t="s">
        <v>14</v>
      </c>
      <c r="B3" s="1049"/>
      <c r="C3" s="1049"/>
      <c r="D3" s="1049"/>
      <c r="E3" s="1049"/>
      <c r="F3" s="1049"/>
      <c r="G3" s="1049"/>
      <c r="H3" s="528" t="s">
        <v>374</v>
      </c>
      <c r="I3" s="503">
        <f>'1 Certification'!H22</f>
        <v>0</v>
      </c>
      <c r="L3" s="768"/>
      <c r="M3" s="769"/>
    </row>
    <row r="4" spans="1:16" s="259" customFormat="1" ht="15.6" customHeight="1" x14ac:dyDescent="0.25">
      <c r="A4" s="1043" t="s">
        <v>15</v>
      </c>
      <c r="B4" s="1044"/>
      <c r="C4" s="1045" t="s">
        <v>16</v>
      </c>
      <c r="D4" s="1044"/>
      <c r="E4" s="1045" t="s">
        <v>17</v>
      </c>
      <c r="F4" s="1044"/>
      <c r="G4" s="1044"/>
      <c r="H4" s="1045" t="s">
        <v>18</v>
      </c>
      <c r="I4" s="1057"/>
      <c r="L4" s="769"/>
      <c r="M4" s="769"/>
    </row>
    <row r="5" spans="1:16" s="259" customFormat="1" x14ac:dyDescent="0.25">
      <c r="A5" s="1050">
        <f>'1 Certification'!B5</f>
        <v>0</v>
      </c>
      <c r="B5" s="1051"/>
      <c r="C5" s="1052">
        <f>'1 Certification'!E5</f>
        <v>0</v>
      </c>
      <c r="D5" s="1051"/>
      <c r="E5" s="1052">
        <f>'1 Certification'!F5</f>
        <v>0</v>
      </c>
      <c r="F5" s="1051"/>
      <c r="G5" s="1051"/>
      <c r="H5" s="1054">
        <f>'1 Certification'!H5</f>
        <v>0</v>
      </c>
      <c r="I5" s="1055"/>
      <c r="P5" s="259" t="s">
        <v>2</v>
      </c>
    </row>
    <row r="6" spans="1:16" s="259" customFormat="1" x14ac:dyDescent="0.25">
      <c r="A6" s="1043" t="s">
        <v>19</v>
      </c>
      <c r="B6" s="1044"/>
      <c r="C6" s="1044"/>
      <c r="D6" s="1044"/>
      <c r="E6" s="1045" t="s">
        <v>20</v>
      </c>
      <c r="F6" s="1044"/>
      <c r="G6" s="1044"/>
      <c r="H6" s="1044"/>
      <c r="I6" s="1057"/>
    </row>
    <row r="7" spans="1:16" s="259" customFormat="1" x14ac:dyDescent="0.25">
      <c r="A7" s="1050" t="str">
        <f>IF('1 Certification'!B7=0,"",'1 Certification'!B7)</f>
        <v/>
      </c>
      <c r="B7" s="1051"/>
      <c r="C7" s="1051"/>
      <c r="D7" s="1051"/>
      <c r="E7" s="1052">
        <f>'1 Certification'!F7</f>
        <v>0</v>
      </c>
      <c r="F7" s="1051"/>
      <c r="G7" s="1051"/>
      <c r="H7" s="1051"/>
      <c r="I7" s="1053"/>
    </row>
    <row r="8" spans="1:16" s="259" customFormat="1" ht="15.6" customHeight="1" x14ac:dyDescent="0.25">
      <c r="A8" s="1043" t="s">
        <v>21</v>
      </c>
      <c r="B8" s="1044"/>
      <c r="C8" s="1044"/>
      <c r="D8" s="1044"/>
      <c r="E8" s="1045" t="s">
        <v>297</v>
      </c>
      <c r="F8" s="1044"/>
      <c r="G8" s="1044"/>
      <c r="H8" s="1044"/>
      <c r="I8" s="1057"/>
      <c r="L8" s="341"/>
      <c r="M8" s="341"/>
    </row>
    <row r="9" spans="1:16" s="259" customFormat="1" ht="19.5" thickBot="1" x14ac:dyDescent="0.3">
      <c r="A9" s="1058">
        <f>'1 Certification'!B9</f>
        <v>0</v>
      </c>
      <c r="B9" s="1059"/>
      <c r="C9" s="1059"/>
      <c r="D9" s="1059"/>
      <c r="E9" s="1060">
        <f>'1 Certification'!F9</f>
        <v>0</v>
      </c>
      <c r="F9" s="1059"/>
      <c r="G9" s="1059"/>
      <c r="H9" s="1059"/>
      <c r="I9" s="1061"/>
      <c r="J9" s="1151" t="str">
        <f>Directions!N8</f>
        <v>Version 2.1</v>
      </c>
      <c r="K9" s="1151"/>
      <c r="L9" s="342"/>
      <c r="M9" s="342"/>
    </row>
    <row r="10" spans="1:16" s="259" customFormat="1" ht="16.5" thickBot="1" x14ac:dyDescent="0.3">
      <c r="A10" s="260"/>
      <c r="B10" s="260"/>
      <c r="C10" s="260"/>
      <c r="D10" s="260"/>
      <c r="E10" s="260"/>
      <c r="F10" s="260"/>
      <c r="G10" s="260"/>
      <c r="H10" s="260"/>
      <c r="I10" s="260"/>
      <c r="J10" s="1152"/>
      <c r="K10" s="1152"/>
      <c r="L10" s="343"/>
      <c r="M10" s="343"/>
    </row>
    <row r="11" spans="1:16" ht="16.5" thickBot="1" x14ac:dyDescent="0.3">
      <c r="A11" s="1128" t="s">
        <v>78</v>
      </c>
      <c r="B11" s="1169"/>
      <c r="C11" s="1169"/>
      <c r="D11" s="1169"/>
      <c r="E11" s="1169"/>
      <c r="F11" s="1169"/>
      <c r="G11" s="1169"/>
      <c r="H11" s="1169"/>
      <c r="I11" s="1170"/>
      <c r="J11" s="259"/>
      <c r="K11" s="259"/>
      <c r="L11" s="259"/>
      <c r="P11" s="627" t="s">
        <v>438</v>
      </c>
    </row>
    <row r="12" spans="1:16" ht="15.6" customHeight="1" x14ac:dyDescent="0.25">
      <c r="A12" s="1136" t="s">
        <v>79</v>
      </c>
      <c r="B12" s="1099" t="s">
        <v>219</v>
      </c>
      <c r="C12" s="1091"/>
      <c r="D12" s="1138" t="s">
        <v>342</v>
      </c>
      <c r="E12" s="1146" t="s">
        <v>394</v>
      </c>
      <c r="F12" s="1116" t="s">
        <v>26</v>
      </c>
      <c r="G12" s="1131" t="s">
        <v>343</v>
      </c>
      <c r="H12" s="1138" t="s">
        <v>210</v>
      </c>
      <c r="I12" s="1131" t="s">
        <v>396</v>
      </c>
      <c r="J12" s="259"/>
      <c r="K12" s="259"/>
      <c r="L12" s="259"/>
      <c r="P12" s="627">
        <v>27.2</v>
      </c>
    </row>
    <row r="13" spans="1:16" ht="16.5" thickBot="1" x14ac:dyDescent="0.3">
      <c r="A13" s="1137"/>
      <c r="B13" s="1134"/>
      <c r="C13" s="1135"/>
      <c r="D13" s="1139"/>
      <c r="E13" s="1147"/>
      <c r="F13" s="1133"/>
      <c r="G13" s="1132"/>
      <c r="H13" s="1168"/>
      <c r="I13" s="1132"/>
      <c r="J13" s="259"/>
      <c r="K13" s="259"/>
      <c r="L13" s="259"/>
      <c r="P13" s="627" t="s">
        <v>441</v>
      </c>
    </row>
    <row r="14" spans="1:16" x14ac:dyDescent="0.25">
      <c r="A14" s="345" t="str">
        <f>'2 Aggregate System'!A13</f>
        <v>Coarse A</v>
      </c>
      <c r="B14" s="1140" t="str">
        <f>IF('2 Aggregate System'!B13=0,"",'2 Aggregate System'!B13)</f>
        <v/>
      </c>
      <c r="C14" s="1141"/>
      <c r="D14" s="346"/>
      <c r="E14" s="652" t="str">
        <f>'7 Calculation Check'!R21</f>
        <v>-</v>
      </c>
      <c r="F14" s="582" t="str">
        <f>'7 Calculation Check'!J21</f>
        <v>-</v>
      </c>
      <c r="G14" s="649" t="str">
        <f>IFERROR('7 Calculation Check'!M21,"")</f>
        <v>-</v>
      </c>
      <c r="H14" s="347" t="str">
        <f>IFERROR('6 Agg Analysis'!AB34,"")</f>
        <v/>
      </c>
      <c r="I14" s="348" t="str">
        <f>IFERROR('6 Agg Analysis'!AE34,"")</f>
        <v/>
      </c>
      <c r="J14" s="259"/>
      <c r="K14" s="259"/>
      <c r="L14" s="259"/>
      <c r="P14" s="627">
        <v>24</v>
      </c>
    </row>
    <row r="15" spans="1:16" x14ac:dyDescent="0.25">
      <c r="A15" s="315" t="str">
        <f>'2 Aggregate System'!A14</f>
        <v>Coarse B</v>
      </c>
      <c r="B15" s="1140" t="str">
        <f>IF('2 Aggregate System'!B14=0,"",'2 Aggregate System'!B14)</f>
        <v/>
      </c>
      <c r="C15" s="1141"/>
      <c r="D15" s="575"/>
      <c r="E15" s="653" t="str">
        <f>'7 Calculation Check'!R22</f>
        <v>-</v>
      </c>
      <c r="F15" s="583" t="str">
        <f>'7 Calculation Check'!J22</f>
        <v>-</v>
      </c>
      <c r="G15" s="650" t="str">
        <f>IFERROR('7 Calculation Check'!M22,"")</f>
        <v>-</v>
      </c>
      <c r="H15" s="349" t="str">
        <f>IFERROR('6 Agg Analysis'!AB35,"")</f>
        <v/>
      </c>
      <c r="I15" s="350" t="str">
        <f>IFERROR('6 Agg Analysis'!AE35,"")</f>
        <v/>
      </c>
      <c r="J15" s="262"/>
      <c r="K15" s="262"/>
      <c r="L15" s="262"/>
      <c r="P15" s="627" t="s">
        <v>440</v>
      </c>
    </row>
    <row r="16" spans="1:16" x14ac:dyDescent="0.25">
      <c r="A16" s="315" t="str">
        <f>'2 Aggregate System'!A15</f>
        <v>Coarse C</v>
      </c>
      <c r="B16" s="1140" t="str">
        <f>IF('2 Aggregate System'!B15=0,"",'2 Aggregate System'!B15)</f>
        <v/>
      </c>
      <c r="C16" s="1141"/>
      <c r="D16" s="575"/>
      <c r="E16" s="653" t="str">
        <f>'7 Calculation Check'!R23</f>
        <v>-</v>
      </c>
      <c r="F16" s="583" t="str">
        <f>'7 Calculation Check'!J23</f>
        <v>-</v>
      </c>
      <c r="G16" s="650" t="str">
        <f>IFERROR('7 Calculation Check'!M23,"")</f>
        <v>-</v>
      </c>
      <c r="H16" s="349" t="str">
        <f>IFERROR('6 Agg Analysis'!AB36,"")</f>
        <v/>
      </c>
      <c r="I16" s="350" t="str">
        <f>IFERROR('6 Agg Analysis'!AE36,"")</f>
        <v/>
      </c>
      <c r="J16" s="259"/>
      <c r="K16" s="259"/>
      <c r="L16" s="259"/>
      <c r="P16" s="627">
        <f>'7 Calculation Check'!J58</f>
        <v>34</v>
      </c>
    </row>
    <row r="17" spans="1:16" x14ac:dyDescent="0.25">
      <c r="A17" s="315" t="str">
        <f>'2 Aggregate System'!A16</f>
        <v>Fine A</v>
      </c>
      <c r="B17" s="1140" t="str">
        <f>IF('2 Aggregate System'!B16=0,"",'2 Aggregate System'!B16)</f>
        <v/>
      </c>
      <c r="C17" s="1141"/>
      <c r="D17" s="575"/>
      <c r="E17" s="653" t="str">
        <f>'7 Calculation Check'!R24</f>
        <v>-</v>
      </c>
      <c r="F17" s="583" t="str">
        <f>'7 Calculation Check'!J24</f>
        <v>-</v>
      </c>
      <c r="G17" s="650" t="str">
        <f>IFERROR('7 Calculation Check'!M24,"")</f>
        <v>-</v>
      </c>
      <c r="H17" s="349" t="str">
        <f>IFERROR('6 Agg Analysis'!AB37,"")</f>
        <v/>
      </c>
      <c r="I17" s="350" t="str">
        <f>IFERROR('6 Agg Analysis'!AE37,"")</f>
        <v/>
      </c>
      <c r="J17" s="259"/>
      <c r="K17" s="259"/>
      <c r="L17" s="259"/>
      <c r="M17" s="259"/>
      <c r="P17" s="627" t="s">
        <v>439</v>
      </c>
    </row>
    <row r="18" spans="1:16" ht="16.5" thickBot="1" x14ac:dyDescent="0.3">
      <c r="A18" s="316" t="str">
        <f>'2 Aggregate System'!A17</f>
        <v>Fine B</v>
      </c>
      <c r="B18" s="1140" t="str">
        <f>IF('2 Aggregate System'!B17=0,"",'2 Aggregate System'!B17)</f>
        <v/>
      </c>
      <c r="C18" s="1141"/>
      <c r="D18" s="575"/>
      <c r="E18" s="654" t="str">
        <f>'7 Calculation Check'!R25</f>
        <v>-</v>
      </c>
      <c r="F18" s="192" t="str">
        <f>'7 Calculation Check'!J25</f>
        <v>-</v>
      </c>
      <c r="G18" s="651" t="str">
        <f>IFERROR('7 Calculation Check'!M25,"")</f>
        <v>-</v>
      </c>
      <c r="H18" s="351" t="str">
        <f>IFERROR('6 Agg Analysis'!AB38,"")</f>
        <v/>
      </c>
      <c r="I18" s="352" t="str">
        <f>IFERROR('6 Agg Analysis'!AE38,"")</f>
        <v/>
      </c>
      <c r="J18" s="259"/>
      <c r="K18" s="259"/>
      <c r="L18" s="259"/>
      <c r="M18" s="259"/>
      <c r="P18" s="627">
        <v>2.2999999999999998</v>
      </c>
    </row>
    <row r="19" spans="1:16" x14ac:dyDescent="0.25">
      <c r="A19" s="345" t="str">
        <f>'3 Paste Quality'!A13</f>
        <v>Cement</v>
      </c>
      <c r="B19" s="1142" t="str">
        <f>IF('3 Paste Quality'!B13=0,"-",'3 Paste Quality'!B13)</f>
        <v>-</v>
      </c>
      <c r="C19" s="1143"/>
      <c r="D19" s="353">
        <f>'7 Calculation Check'!K26</f>
        <v>0</v>
      </c>
      <c r="E19" s="559"/>
      <c r="F19" s="354">
        <f>'7 Calculation Check'!E11</f>
        <v>0</v>
      </c>
      <c r="G19" s="355" t="str">
        <f>'7 Calculation Check'!M26</f>
        <v>-</v>
      </c>
      <c r="H19" s="356"/>
      <c r="J19" s="259"/>
      <c r="K19" s="259"/>
      <c r="L19" s="259"/>
      <c r="M19" s="259"/>
    </row>
    <row r="20" spans="1:16" x14ac:dyDescent="0.25">
      <c r="A20" s="315" t="str">
        <f>'3 Paste Quality'!A14</f>
        <v>Fly Ash</v>
      </c>
      <c r="B20" s="1144" t="str">
        <f>IF('3 Paste Quality'!B14=0,"-",'3 Paste Quality'!B14)</f>
        <v>-</v>
      </c>
      <c r="C20" s="1145"/>
      <c r="D20" s="357" t="str">
        <f>'7 Calculation Check'!K27</f>
        <v>-</v>
      </c>
      <c r="E20" s="559"/>
      <c r="F20" s="354" t="str">
        <f>'7 Calculation Check'!E12</f>
        <v>-</v>
      </c>
      <c r="G20" s="355" t="str">
        <f>'7 Calculation Check'!M27</f>
        <v>-</v>
      </c>
      <c r="H20" s="356"/>
      <c r="J20" s="259"/>
      <c r="K20" s="259"/>
      <c r="L20" s="259"/>
      <c r="M20" s="358"/>
      <c r="N20" s="259"/>
      <c r="O20" s="259"/>
    </row>
    <row r="21" spans="1:16" x14ac:dyDescent="0.25">
      <c r="A21" s="315" t="s">
        <v>72</v>
      </c>
      <c r="B21" s="1144" t="str">
        <f>IF('3 Paste Quality'!B15=0,"-",'3 Paste Quality'!B15)</f>
        <v>-</v>
      </c>
      <c r="C21" s="1145"/>
      <c r="D21" s="357" t="str">
        <f>'7 Calculation Check'!K28</f>
        <v>-</v>
      </c>
      <c r="E21" s="559"/>
      <c r="F21" s="354" t="str">
        <f>'7 Calculation Check'!E13</f>
        <v>-</v>
      </c>
      <c r="G21" s="355" t="str">
        <f>'7 Calculation Check'!M28</f>
        <v>-</v>
      </c>
      <c r="J21" s="259"/>
      <c r="K21" s="259"/>
      <c r="L21" s="259"/>
      <c r="M21" s="358"/>
      <c r="N21" s="259"/>
      <c r="O21" s="259"/>
    </row>
    <row r="22" spans="1:16" x14ac:dyDescent="0.25">
      <c r="A22" s="315" t="s">
        <v>206</v>
      </c>
      <c r="B22" s="1144" t="str">
        <f>IF('3 Paste Quality'!B16=0,"-",'3 Paste Quality'!B16)</f>
        <v>-</v>
      </c>
      <c r="C22" s="1145"/>
      <c r="D22" s="357" t="str">
        <f>'7 Calculation Check'!K29</f>
        <v>-</v>
      </c>
      <c r="E22" s="559"/>
      <c r="F22" s="354" t="str">
        <f>'7 Calculation Check'!E14</f>
        <v>-</v>
      </c>
      <c r="G22" s="355" t="str">
        <f>'7 Calculation Check'!M29</f>
        <v>-</v>
      </c>
      <c r="J22" s="259"/>
      <c r="K22" s="259"/>
      <c r="L22" s="259"/>
      <c r="M22" s="359"/>
      <c r="N22" s="360"/>
      <c r="O22" s="359"/>
    </row>
    <row r="23" spans="1:16" x14ac:dyDescent="0.25">
      <c r="A23" s="315" t="s">
        <v>208</v>
      </c>
      <c r="B23" s="1144" t="str">
        <f>IF('3 Paste Quality'!B17=0,"-",'3 Paste Quality'!B17)</f>
        <v>-</v>
      </c>
      <c r="C23" s="1145"/>
      <c r="D23" s="357" t="str">
        <f>'7 Calculation Check'!K30</f>
        <v>-</v>
      </c>
      <c r="E23" s="559"/>
      <c r="F23" s="354" t="str">
        <f>'7 Calculation Check'!E15</f>
        <v>-</v>
      </c>
      <c r="G23" s="355" t="str">
        <f>'7 Calculation Check'!M30</f>
        <v>-</v>
      </c>
      <c r="J23" s="259"/>
      <c r="K23" s="259"/>
      <c r="L23" s="259"/>
      <c r="M23" s="359"/>
      <c r="N23" s="360"/>
      <c r="O23" s="359"/>
    </row>
    <row r="24" spans="1:16" x14ac:dyDescent="0.25">
      <c r="A24" s="315" t="s">
        <v>75</v>
      </c>
      <c r="B24" s="1176"/>
      <c r="C24" s="1177"/>
      <c r="D24" s="357" t="e">
        <f>C29*'3 Paste Quality'!B32</f>
        <v>#VALUE!</v>
      </c>
      <c r="E24" s="559"/>
      <c r="F24" s="354">
        <f>'3 Paste Quality'!$G$46</f>
        <v>1</v>
      </c>
      <c r="G24" s="355" t="str">
        <f>IFERROR('7 Calculation Check'!M31,"")</f>
        <v>CM ERROR</v>
      </c>
      <c r="H24" s="259"/>
      <c r="J24" s="259"/>
      <c r="K24" s="259"/>
      <c r="L24" s="259"/>
      <c r="M24" s="259"/>
      <c r="N24" s="259"/>
      <c r="O24" s="259"/>
    </row>
    <row r="25" spans="1:16" ht="16.5" thickBot="1" x14ac:dyDescent="0.3">
      <c r="A25" s="316" t="s">
        <v>71</v>
      </c>
      <c r="B25" s="1178"/>
      <c r="C25" s="1179"/>
      <c r="D25" s="361" t="str">
        <f>IF(ISNUMBER('3 Paste Quality'!B33),'3 Paste Quality'!B33,"")</f>
        <v/>
      </c>
      <c r="E25" s="559"/>
      <c r="F25" s="362"/>
      <c r="G25" s="361" t="str">
        <f>'7 Calculation Check'!M32</f>
        <v>AIR ?</v>
      </c>
      <c r="H25" s="259"/>
      <c r="M25" s="259"/>
      <c r="N25" s="259"/>
      <c r="O25" s="259"/>
    </row>
    <row r="26" spans="1:16" ht="16.5" thickBot="1" x14ac:dyDescent="0.3">
      <c r="A26" s="1180" t="s">
        <v>80</v>
      </c>
      <c r="B26" s="1181"/>
      <c r="C26" s="1182"/>
      <c r="D26" s="363" t="e">
        <f>SUM(D14:D24)</f>
        <v>#VALUE!</v>
      </c>
      <c r="E26" s="560"/>
      <c r="F26" s="561"/>
      <c r="G26" s="365" t="str">
        <f>IF(AND(D14=0,D15=0,D16=0,D17=0,D18=0),"ENTER WTS.",IF(OR('3 Paste Quality'!B31&lt;500,'3 Paste Quality'!B42&gt;30,'3 Paste Quality'!B31=0),"CM ERROR",SUM(G14:G25)))</f>
        <v>ENTER WTS.</v>
      </c>
      <c r="H26" s="366"/>
    </row>
    <row r="27" spans="1:16" ht="16.5" thickBot="1" x14ac:dyDescent="0.3">
      <c r="A27" s="259"/>
      <c r="B27" s="259"/>
      <c r="C27" s="328"/>
      <c r="D27" s="367"/>
      <c r="E27" s="259"/>
      <c r="F27" s="259"/>
      <c r="G27" s="259"/>
      <c r="H27" s="259"/>
      <c r="I27" s="259"/>
    </row>
    <row r="28" spans="1:16" ht="16.5" thickBot="1" x14ac:dyDescent="0.3">
      <c r="A28" s="1128" t="s">
        <v>247</v>
      </c>
      <c r="B28" s="1129"/>
      <c r="C28" s="1129"/>
      <c r="D28" s="1130"/>
      <c r="E28" s="259"/>
      <c r="F28" s="259"/>
      <c r="G28" s="259"/>
      <c r="H28" s="259"/>
      <c r="I28" s="259"/>
    </row>
    <row r="29" spans="1:16" ht="16.5" thickBot="1" x14ac:dyDescent="0.3">
      <c r="A29" s="1184" t="s">
        <v>81</v>
      </c>
      <c r="B29" s="1185"/>
      <c r="C29" s="368" t="str">
        <f>'7 Calculation Check'!F24</f>
        <v>CM ERROR</v>
      </c>
      <c r="D29" s="369" t="s">
        <v>250</v>
      </c>
      <c r="F29" s="341"/>
      <c r="G29" s="341"/>
      <c r="H29" s="341"/>
      <c r="I29" s="259"/>
    </row>
    <row r="30" spans="1:16" ht="18.75" thickBot="1" x14ac:dyDescent="0.3">
      <c r="A30" s="1171" t="s">
        <v>248</v>
      </c>
      <c r="B30" s="1172"/>
      <c r="C30" s="370">
        <f>SUM(G14:G18)</f>
        <v>0</v>
      </c>
      <c r="D30" s="369" t="s">
        <v>344</v>
      </c>
      <c r="F30" s="341"/>
      <c r="G30" s="341"/>
      <c r="H30" s="341"/>
      <c r="I30" s="259"/>
    </row>
    <row r="31" spans="1:16" ht="16.5" thickBot="1" x14ac:dyDescent="0.3">
      <c r="A31" s="1171" t="s">
        <v>249</v>
      </c>
      <c r="B31" s="1172"/>
      <c r="C31" s="371">
        <f>SUM(D14:D18)</f>
        <v>0</v>
      </c>
      <c r="D31" s="369" t="s">
        <v>246</v>
      </c>
      <c r="F31" s="341"/>
      <c r="G31" s="341"/>
      <c r="H31" s="341"/>
      <c r="I31" s="259"/>
    </row>
    <row r="32" spans="1:16" x14ac:dyDescent="0.25">
      <c r="A32" s="372" t="s">
        <v>226</v>
      </c>
      <c r="B32" s="373"/>
      <c r="C32" s="374" t="str">
        <f>'7 Calculation Check'!K44</f>
        <v>CM ERROR</v>
      </c>
      <c r="D32" s="375" t="s">
        <v>32</v>
      </c>
      <c r="F32" s="341"/>
      <c r="G32" s="341"/>
      <c r="H32" s="341"/>
      <c r="I32" s="259"/>
    </row>
    <row r="33" spans="1:10" x14ac:dyDescent="0.25">
      <c r="A33" s="372" t="s">
        <v>225</v>
      </c>
      <c r="B33" s="373"/>
      <c r="C33" s="374" t="str">
        <f>'7 Calculation Check'!K45</f>
        <v>CM ERROR</v>
      </c>
      <c r="D33" s="375" t="s">
        <v>32</v>
      </c>
      <c r="F33" s="341"/>
      <c r="G33" s="341"/>
      <c r="H33" s="341"/>
      <c r="I33" s="259"/>
    </row>
    <row r="34" spans="1:10" x14ac:dyDescent="0.25">
      <c r="A34" s="376" t="s">
        <v>228</v>
      </c>
      <c r="B34" s="377"/>
      <c r="C34" s="378" t="str">
        <f>'7 Calculation Check'!K46</f>
        <v>CM ERROR</v>
      </c>
      <c r="D34" s="379" t="s">
        <v>32</v>
      </c>
      <c r="F34" s="259"/>
      <c r="G34" s="259"/>
      <c r="H34" s="259"/>
      <c r="I34" s="259"/>
      <c r="J34" s="259"/>
    </row>
    <row r="35" spans="1:10" x14ac:dyDescent="0.25">
      <c r="A35" s="372" t="s">
        <v>227</v>
      </c>
      <c r="B35" s="377"/>
      <c r="C35" s="378" t="str">
        <f>'7 Calculation Check'!K47</f>
        <v>AIR ?</v>
      </c>
      <c r="D35" s="379" t="s">
        <v>32</v>
      </c>
      <c r="F35" s="259"/>
      <c r="G35" s="259"/>
      <c r="H35" s="259"/>
      <c r="I35" s="259"/>
    </row>
    <row r="36" spans="1:10" x14ac:dyDescent="0.25">
      <c r="A36" s="372" t="s">
        <v>229</v>
      </c>
      <c r="B36" s="380"/>
      <c r="C36" s="378" t="str">
        <f>'7 Calculation Check'!K48</f>
        <v>CM ERROR</v>
      </c>
      <c r="D36" s="379" t="s">
        <v>32</v>
      </c>
      <c r="F36" s="259"/>
      <c r="G36" s="259"/>
      <c r="H36" s="259"/>
      <c r="I36" s="259"/>
      <c r="J36" s="259"/>
    </row>
    <row r="37" spans="1:10" x14ac:dyDescent="0.25">
      <c r="A37" s="372" t="s">
        <v>269</v>
      </c>
      <c r="B37" s="380"/>
      <c r="C37" s="378" t="str">
        <f>'7 Calculation Check'!K49</f>
        <v>VOID CONT.?</v>
      </c>
      <c r="D37" s="379" t="s">
        <v>32</v>
      </c>
      <c r="F37" s="259"/>
      <c r="G37" s="259"/>
      <c r="H37" s="259"/>
      <c r="I37" s="259"/>
      <c r="J37" s="259"/>
    </row>
    <row r="38" spans="1:10" x14ac:dyDescent="0.25">
      <c r="A38" s="372" t="s">
        <v>82</v>
      </c>
      <c r="B38" s="381" t="s">
        <v>244</v>
      </c>
      <c r="C38" s="382" t="str">
        <f>'7 Calculation Check'!K50</f>
        <v>CM ERROR</v>
      </c>
      <c r="D38" s="379"/>
      <c r="F38" s="259"/>
      <c r="G38" s="259"/>
      <c r="H38" s="259"/>
      <c r="I38" s="259"/>
      <c r="J38" s="259"/>
    </row>
    <row r="39" spans="1:10" ht="16.5" thickBot="1" x14ac:dyDescent="0.3">
      <c r="A39" s="383" t="s">
        <v>330</v>
      </c>
      <c r="B39" s="384"/>
      <c r="C39" s="385">
        <f>'7 Calculation Check'!E25</f>
        <v>0</v>
      </c>
      <c r="D39" s="386"/>
      <c r="F39" s="259"/>
      <c r="G39" s="259"/>
      <c r="H39" s="259"/>
      <c r="I39" s="259"/>
      <c r="J39" s="259"/>
    </row>
    <row r="40" spans="1:10" ht="16.5" thickBot="1" x14ac:dyDescent="0.3">
      <c r="B40" s="387"/>
    </row>
    <row r="41" spans="1:10" ht="16.5" thickBot="1" x14ac:dyDescent="0.3">
      <c r="A41" s="1081" t="s">
        <v>53</v>
      </c>
      <c r="B41" s="1082"/>
      <c r="C41" s="1082"/>
      <c r="D41" s="1183"/>
      <c r="E41" s="244"/>
      <c r="F41" s="244"/>
      <c r="G41" s="244"/>
      <c r="H41" s="244"/>
    </row>
    <row r="42" spans="1:10" x14ac:dyDescent="0.25">
      <c r="A42" s="1099" t="s">
        <v>54</v>
      </c>
      <c r="B42" s="1131" t="s">
        <v>55</v>
      </c>
      <c r="C42" s="1131" t="s">
        <v>160</v>
      </c>
      <c r="D42" s="1138" t="s">
        <v>49</v>
      </c>
      <c r="E42" s="245"/>
      <c r="F42" s="245"/>
    </row>
    <row r="43" spans="1:10" ht="16.5" thickBot="1" x14ac:dyDescent="0.3">
      <c r="A43" s="1134"/>
      <c r="B43" s="1189"/>
      <c r="C43" s="1189"/>
      <c r="D43" s="1168"/>
      <c r="E43" s="281"/>
      <c r="F43" s="281"/>
    </row>
    <row r="44" spans="1:10" x14ac:dyDescent="0.25">
      <c r="A44" s="388" t="s">
        <v>33</v>
      </c>
      <c r="B44" s="389">
        <v>0</v>
      </c>
      <c r="C44" s="390" t="str">
        <f>'7 Calculation Check'!L5</f>
        <v>-</v>
      </c>
      <c r="D44" s="265" t="str">
        <f>'7 Calculation Check'!M5</f>
        <v>-</v>
      </c>
      <c r="E44" s="229"/>
      <c r="F44" s="229"/>
    </row>
    <row r="45" spans="1:10" x14ac:dyDescent="0.25">
      <c r="A45" s="391" t="s">
        <v>34</v>
      </c>
      <c r="B45" s="392" t="s">
        <v>57</v>
      </c>
      <c r="C45" s="393" t="str">
        <f>'7 Calculation Check'!L6</f>
        <v>-</v>
      </c>
      <c r="D45" s="394" t="str">
        <f>'7 Calculation Check'!M6</f>
        <v>-</v>
      </c>
      <c r="E45" s="229"/>
      <c r="F45" s="229"/>
    </row>
    <row r="46" spans="1:10" x14ac:dyDescent="0.25">
      <c r="A46" s="391" t="s">
        <v>35</v>
      </c>
      <c r="B46" s="392" t="s">
        <v>58</v>
      </c>
      <c r="C46" s="393" t="str">
        <f>'7 Calculation Check'!L7</f>
        <v>-</v>
      </c>
      <c r="D46" s="394" t="str">
        <f>'7 Calculation Check'!M7</f>
        <v>-</v>
      </c>
      <c r="E46" s="229"/>
      <c r="F46" s="229"/>
    </row>
    <row r="47" spans="1:10" x14ac:dyDescent="0.25">
      <c r="A47" s="391" t="s">
        <v>36</v>
      </c>
      <c r="B47" s="392" t="s">
        <v>59</v>
      </c>
      <c r="C47" s="393" t="str">
        <f>'7 Calculation Check'!L8</f>
        <v>-</v>
      </c>
      <c r="D47" s="394" t="str">
        <f>'7 Calculation Check'!M8</f>
        <v>-</v>
      </c>
      <c r="E47" s="229"/>
      <c r="F47" s="229"/>
    </row>
    <row r="48" spans="1:10" x14ac:dyDescent="0.25">
      <c r="A48" s="391" t="s">
        <v>37</v>
      </c>
      <c r="B48" s="392" t="s">
        <v>60</v>
      </c>
      <c r="C48" s="393" t="str">
        <f>'7 Calculation Check'!L9</f>
        <v>-</v>
      </c>
      <c r="D48" s="394" t="str">
        <f>'7 Calculation Check'!M9</f>
        <v>-</v>
      </c>
      <c r="E48" s="229"/>
      <c r="F48" s="229"/>
    </row>
    <row r="49" spans="1:18" x14ac:dyDescent="0.25">
      <c r="A49" s="391" t="s">
        <v>38</v>
      </c>
      <c r="B49" s="392" t="s">
        <v>60</v>
      </c>
      <c r="C49" s="393" t="str">
        <f>'7 Calculation Check'!L10</f>
        <v>-</v>
      </c>
      <c r="D49" s="394" t="str">
        <f>'7 Calculation Check'!M10</f>
        <v>-</v>
      </c>
      <c r="E49" s="229"/>
      <c r="F49" s="229"/>
    </row>
    <row r="50" spans="1:18" x14ac:dyDescent="0.25">
      <c r="A50" s="391" t="s">
        <v>39</v>
      </c>
      <c r="B50" s="392" t="s">
        <v>60</v>
      </c>
      <c r="C50" s="393" t="str">
        <f>'7 Calculation Check'!L11</f>
        <v>-</v>
      </c>
      <c r="D50" s="394" t="str">
        <f>'7 Calculation Check'!M11</f>
        <v>-</v>
      </c>
      <c r="E50" s="229"/>
      <c r="O50" s="193"/>
      <c r="P50" s="193"/>
      <c r="Q50" s="193"/>
      <c r="R50" s="193"/>
    </row>
    <row r="51" spans="1:18" ht="16.5" thickBot="1" x14ac:dyDescent="0.3">
      <c r="A51" s="391" t="s">
        <v>40</v>
      </c>
      <c r="B51" s="392" t="s">
        <v>61</v>
      </c>
      <c r="C51" s="393" t="str">
        <f>'7 Calculation Check'!L12</f>
        <v>-</v>
      </c>
      <c r="D51" s="394" t="str">
        <f>'7 Calculation Check'!M12</f>
        <v>-</v>
      </c>
      <c r="E51" s="229"/>
      <c r="O51" s="241"/>
      <c r="P51" s="241"/>
      <c r="Q51" s="241"/>
    </row>
    <row r="52" spans="1:18" ht="16.5" thickBot="1" x14ac:dyDescent="0.3">
      <c r="A52" s="391" t="s">
        <v>41</v>
      </c>
      <c r="B52" s="392" t="s">
        <v>61</v>
      </c>
      <c r="C52" s="393" t="str">
        <f>'7 Calculation Check'!L13</f>
        <v>-</v>
      </c>
      <c r="D52" s="394" t="str">
        <f>'7 Calculation Check'!M13</f>
        <v>-</v>
      </c>
      <c r="E52" s="1064" t="s">
        <v>211</v>
      </c>
      <c r="F52" s="1064"/>
      <c r="G52" s="1064"/>
      <c r="H52" s="1064"/>
      <c r="I52" s="1064"/>
      <c r="J52" s="1064"/>
      <c r="K52" s="1064"/>
      <c r="L52" s="1064"/>
      <c r="M52" s="1042"/>
      <c r="O52" s="212"/>
      <c r="P52" s="212"/>
      <c r="Q52" s="212"/>
    </row>
    <row r="53" spans="1:18" ht="16.5" thickBot="1" x14ac:dyDescent="0.3">
      <c r="A53" s="391" t="s">
        <v>42</v>
      </c>
      <c r="B53" s="392" t="s">
        <v>60</v>
      </c>
      <c r="C53" s="393" t="str">
        <f>'7 Calculation Check'!L14</f>
        <v>-</v>
      </c>
      <c r="D53" s="394" t="str">
        <f>'7 Calculation Check'!M14</f>
        <v>-</v>
      </c>
      <c r="E53" s="1161" t="s">
        <v>204</v>
      </c>
      <c r="F53" s="1162"/>
      <c r="G53" s="395" t="s">
        <v>24</v>
      </c>
      <c r="H53" s="1164" t="s">
        <v>46</v>
      </c>
      <c r="I53" s="1164"/>
      <c r="J53" s="1165" t="s">
        <v>47</v>
      </c>
      <c r="K53" s="1166"/>
      <c r="L53" s="396" t="s">
        <v>48</v>
      </c>
      <c r="M53" s="178" t="s">
        <v>49</v>
      </c>
      <c r="P53" s="212"/>
      <c r="Q53" s="212"/>
    </row>
    <row r="54" spans="1:18" ht="16.149999999999999" customHeight="1" thickBot="1" x14ac:dyDescent="0.3">
      <c r="A54" s="391" t="s">
        <v>43</v>
      </c>
      <c r="B54" s="392" t="s">
        <v>60</v>
      </c>
      <c r="C54" s="393" t="str">
        <f>'7 Calculation Check'!L15</f>
        <v>-</v>
      </c>
      <c r="D54" s="394" t="str">
        <f>'7 Calculation Check'!M15</f>
        <v>-</v>
      </c>
      <c r="E54" s="1155" t="s">
        <v>205</v>
      </c>
      <c r="F54" s="1156"/>
      <c r="G54" s="1153" t="s">
        <v>29</v>
      </c>
      <c r="H54" s="1167" t="s">
        <v>50</v>
      </c>
      <c r="I54" s="1153"/>
      <c r="J54" s="1167" t="s">
        <v>200</v>
      </c>
      <c r="K54" s="1153"/>
      <c r="L54" s="1187">
        <f>'7 Calculation Check'!$K$58</f>
        <v>0</v>
      </c>
      <c r="M54" s="1116" t="str">
        <f>'7 Calculation Check'!$L$58</f>
        <v>Fail</v>
      </c>
    </row>
    <row r="55" spans="1:18" ht="16.149999999999999" customHeight="1" thickBot="1" x14ac:dyDescent="0.3">
      <c r="A55" s="391" t="s">
        <v>44</v>
      </c>
      <c r="B55" s="392" t="s">
        <v>62</v>
      </c>
      <c r="C55" s="393" t="str">
        <f>'7 Calculation Check'!L16</f>
        <v>-</v>
      </c>
      <c r="D55" s="394" t="str">
        <f>'7 Calculation Check'!M16</f>
        <v>-</v>
      </c>
      <c r="E55" s="1157"/>
      <c r="F55" s="1158"/>
      <c r="G55" s="1154"/>
      <c r="H55" s="1163"/>
      <c r="I55" s="1154"/>
      <c r="J55" s="1165" t="s">
        <v>234</v>
      </c>
      <c r="K55" s="1166"/>
      <c r="L55" s="1188"/>
      <c r="M55" s="1186"/>
    </row>
    <row r="56" spans="1:18" ht="16.149999999999999" customHeight="1" thickBot="1" x14ac:dyDescent="0.3">
      <c r="A56" s="397" t="s">
        <v>45</v>
      </c>
      <c r="B56" s="398" t="s">
        <v>173</v>
      </c>
      <c r="C56" s="399" t="str">
        <f>'7 Calculation Check'!L17</f>
        <v>-</v>
      </c>
      <c r="D56" s="400" t="str">
        <f>'7 Calculation Check'!M17</f>
        <v>-</v>
      </c>
      <c r="E56" s="1159"/>
      <c r="F56" s="1160"/>
      <c r="G56" s="396" t="s">
        <v>28</v>
      </c>
      <c r="H56" s="1163" t="s">
        <v>51</v>
      </c>
      <c r="I56" s="1154"/>
      <c r="J56" s="1163" t="s">
        <v>52</v>
      </c>
      <c r="K56" s="1154"/>
      <c r="L56" s="401">
        <f>'7 Calculation Check'!$J$56</f>
        <v>0</v>
      </c>
      <c r="M56" s="400" t="str">
        <f>'7 Calculation Check'!$K$56</f>
        <v>Fail</v>
      </c>
    </row>
    <row r="57" spans="1:18" ht="16.5" thickBot="1" x14ac:dyDescent="0.3">
      <c r="A57" s="1041" t="s">
        <v>232</v>
      </c>
      <c r="B57" s="1175"/>
      <c r="C57" s="402" t="e">
        <f>'6 Agg Analysis'!AK20</f>
        <v>#DIV/0!</v>
      </c>
      <c r="J57" s="1190" t="s">
        <v>272</v>
      </c>
      <c r="K57" s="1191"/>
      <c r="L57" s="403" t="s">
        <v>212</v>
      </c>
      <c r="M57" s="1173" t="e">
        <f>IF(Data_Charts!M44=0,"ERROR",'7 Calculation Check'!$K$55)</f>
        <v>#VALUE!</v>
      </c>
    </row>
    <row r="58" spans="1:18" ht="16.5" thickBot="1" x14ac:dyDescent="0.3">
      <c r="J58" s="1192"/>
      <c r="K58" s="1193"/>
      <c r="L58" s="404" t="e">
        <f>'7 Calculation Check'!$J$55</f>
        <v>#VALUE!</v>
      </c>
      <c r="M58" s="1174"/>
    </row>
    <row r="108" spans="2:5" x14ac:dyDescent="0.25">
      <c r="B108" s="719"/>
      <c r="C108" s="719"/>
      <c r="D108" s="719"/>
      <c r="E108" s="719"/>
    </row>
  </sheetData>
  <sheetProtection selectLockedCells="1"/>
  <mergeCells count="69">
    <mergeCell ref="A30:B30"/>
    <mergeCell ref="A31:B31"/>
    <mergeCell ref="M57:M58"/>
    <mergeCell ref="A57:B57"/>
    <mergeCell ref="B24:C24"/>
    <mergeCell ref="B25:C25"/>
    <mergeCell ref="A26:C26"/>
    <mergeCell ref="A41:D41"/>
    <mergeCell ref="A29:B29"/>
    <mergeCell ref="A42:A43"/>
    <mergeCell ref="M54:M55"/>
    <mergeCell ref="L54:L55"/>
    <mergeCell ref="D42:D43"/>
    <mergeCell ref="B42:B43"/>
    <mergeCell ref="C42:C43"/>
    <mergeCell ref="J57:K58"/>
    <mergeCell ref="J9:K9"/>
    <mergeCell ref="J10:K10"/>
    <mergeCell ref="E52:M52"/>
    <mergeCell ref="G54:G55"/>
    <mergeCell ref="E54:F56"/>
    <mergeCell ref="E53:F53"/>
    <mergeCell ref="I12:I13"/>
    <mergeCell ref="H56:I56"/>
    <mergeCell ref="J56:K56"/>
    <mergeCell ref="H53:I53"/>
    <mergeCell ref="J53:K53"/>
    <mergeCell ref="J54:K54"/>
    <mergeCell ref="H12:H13"/>
    <mergeCell ref="H54:I55"/>
    <mergeCell ref="J55:K55"/>
    <mergeCell ref="A11:I11"/>
    <mergeCell ref="E12:E13"/>
    <mergeCell ref="A9:D9"/>
    <mergeCell ref="E9:I9"/>
    <mergeCell ref="A1:E1"/>
    <mergeCell ref="F1:I1"/>
    <mergeCell ref="A5:B5"/>
    <mergeCell ref="C5:D5"/>
    <mergeCell ref="E5:G5"/>
    <mergeCell ref="H5:I5"/>
    <mergeCell ref="A4:B4"/>
    <mergeCell ref="C4:D4"/>
    <mergeCell ref="E4:G4"/>
    <mergeCell ref="H4:I4"/>
    <mergeCell ref="A2:I2"/>
    <mergeCell ref="A3:G3"/>
    <mergeCell ref="A6:D6"/>
    <mergeCell ref="E6:I6"/>
    <mergeCell ref="A7:D7"/>
    <mergeCell ref="E7:I7"/>
    <mergeCell ref="A8:D8"/>
    <mergeCell ref="E8:I8"/>
    <mergeCell ref="A28:D28"/>
    <mergeCell ref="G12:G13"/>
    <mergeCell ref="F12:F13"/>
    <mergeCell ref="B12:C13"/>
    <mergeCell ref="A12:A13"/>
    <mergeCell ref="D12:D13"/>
    <mergeCell ref="B14:C14"/>
    <mergeCell ref="B15:C15"/>
    <mergeCell ref="B16:C16"/>
    <mergeCell ref="B17:C17"/>
    <mergeCell ref="B18:C18"/>
    <mergeCell ref="B19:C19"/>
    <mergeCell ref="B23:C23"/>
    <mergeCell ref="B20:C20"/>
    <mergeCell ref="B21:C21"/>
    <mergeCell ref="B22:C22"/>
  </mergeCells>
  <conditionalFormatting sqref="D44:D56">
    <cfRule type="cellIs" dxfId="96" priority="9" operator="equal">
      <formula>"AIR ?"</formula>
    </cfRule>
    <cfRule type="cellIs" dxfId="95" priority="10" operator="equal">
      <formula>"W/CM ERROR"</formula>
    </cfRule>
    <cfRule type="cellIs" dxfId="94" priority="11" operator="equal">
      <formula>"AGG. ERROR"</formula>
    </cfRule>
    <cfRule type="cellIs" dxfId="93" priority="36" operator="equal">
      <formula>"CM ERROR"</formula>
    </cfRule>
    <cfRule type="containsText" dxfId="92" priority="56" stopIfTrue="1" operator="containsText" text="Fail">
      <formula>NOT(ISERROR(SEARCH("Fail",D44)))</formula>
    </cfRule>
    <cfRule type="containsText" dxfId="91" priority="57" operator="containsText" text="Pass">
      <formula>NOT(ISERROR(SEARCH("Pass",D44)))</formula>
    </cfRule>
  </conditionalFormatting>
  <conditionalFormatting sqref="M56">
    <cfRule type="cellIs" dxfId="90" priority="47" operator="equal">
      <formula>"ERROR"</formula>
    </cfRule>
    <cfRule type="containsText" dxfId="89" priority="54" stopIfTrue="1" operator="containsText" text="Fail">
      <formula>NOT(ISERROR(SEARCH("Fail",M56)))</formula>
    </cfRule>
    <cfRule type="containsText" dxfId="88" priority="55" operator="containsText" text="Pass">
      <formula>NOT(ISERROR(SEARCH("Pass",M56)))</formula>
    </cfRule>
  </conditionalFormatting>
  <conditionalFormatting sqref="M54">
    <cfRule type="containsText" dxfId="87" priority="52" stopIfTrue="1" operator="containsText" text="Fail">
      <formula>NOT(ISERROR(SEARCH("Fail",M54)))</formula>
    </cfRule>
    <cfRule type="containsText" dxfId="86" priority="53" operator="containsText" text="Pass">
      <formula>NOT(ISERROR(SEARCH("Pass",M54)))</formula>
    </cfRule>
  </conditionalFormatting>
  <conditionalFormatting sqref="E54:F56">
    <cfRule type="cellIs" dxfId="85" priority="49" operator="notEqual">
      <formula>0</formula>
    </cfRule>
    <cfRule type="cellIs" dxfId="84" priority="50" operator="equal">
      <formula>0</formula>
    </cfRule>
  </conditionalFormatting>
  <conditionalFormatting sqref="M54:M55">
    <cfRule type="cellIs" dxfId="83" priority="48" operator="equal">
      <formula>"ERROR"</formula>
    </cfRule>
  </conditionalFormatting>
  <conditionalFormatting sqref="L54:L55">
    <cfRule type="cellIs" dxfId="82" priority="46" operator="equal">
      <formula>"ERROR"</formula>
    </cfRule>
  </conditionalFormatting>
  <conditionalFormatting sqref="L56">
    <cfRule type="cellIs" dxfId="81" priority="45" operator="equal">
      <formula>"ERROR"</formula>
    </cfRule>
  </conditionalFormatting>
  <conditionalFormatting sqref="G26">
    <cfRule type="cellIs" dxfId="80" priority="3" operator="equal">
      <formula>"ENTER WTS."</formula>
    </cfRule>
    <cfRule type="cellIs" dxfId="79" priority="33" operator="equal">
      <formula>"CM ERROR"</formula>
    </cfRule>
    <cfRule type="cellIs" dxfId="78" priority="42" operator="between">
      <formula>27.15</formula>
      <formula>27.25</formula>
    </cfRule>
    <cfRule type="cellIs" dxfId="77" priority="43" operator="notBetween">
      <formula>27.15</formula>
      <formula>27.25</formula>
    </cfRule>
  </conditionalFormatting>
  <conditionalFormatting sqref="D19:D23">
    <cfRule type="cellIs" priority="40" operator="notEqual">
      <formula>"ERROR"</formula>
    </cfRule>
    <cfRule type="cellIs" dxfId="76" priority="41" operator="equal">
      <formula>"CM ERROR"</formula>
    </cfRule>
  </conditionalFormatting>
  <conditionalFormatting sqref="F19:F23">
    <cfRule type="cellIs" dxfId="75" priority="20" operator="equal">
      <formula>"CM ERROR"</formula>
    </cfRule>
    <cfRule type="cellIs" dxfId="74" priority="39" operator="equal">
      <formula>"ERROR: &gt;30%"</formula>
    </cfRule>
  </conditionalFormatting>
  <conditionalFormatting sqref="C44:C56">
    <cfRule type="cellIs" dxfId="73" priority="35" operator="equal">
      <formula>"CM ERROR"</formula>
    </cfRule>
  </conditionalFormatting>
  <conditionalFormatting sqref="G19:G23">
    <cfRule type="cellIs" dxfId="72" priority="23" operator="equal">
      <formula>"ERROR: &gt;30%"</formula>
    </cfRule>
    <cfRule type="cellIs" dxfId="71" priority="34" operator="equal">
      <formula>"CM ERROR"</formula>
    </cfRule>
  </conditionalFormatting>
  <conditionalFormatting sqref="C44:D56">
    <cfRule type="cellIs" dxfId="70" priority="32" operator="equal">
      <formula>"ERROR: vp/vv"</formula>
    </cfRule>
  </conditionalFormatting>
  <conditionalFormatting sqref="C29">
    <cfRule type="cellIs" dxfId="69" priority="44" operator="equal">
      <formula>"CM ERROR"</formula>
    </cfRule>
    <cfRule type="cellIs" dxfId="68" priority="58" operator="lessThan">
      <formula>500</formula>
    </cfRule>
    <cfRule type="cellIs" dxfId="67" priority="59" operator="greaterThanOrEqual">
      <formula>500</formula>
    </cfRule>
  </conditionalFormatting>
  <conditionalFormatting sqref="M57">
    <cfRule type="cellIs" dxfId="66" priority="25" operator="notEqual">
      <formula>"Pass"</formula>
    </cfRule>
    <cfRule type="cellIs" dxfId="65" priority="26" operator="equal">
      <formula>"Pass"</formula>
    </cfRule>
  </conditionalFormatting>
  <conditionalFormatting sqref="L58">
    <cfRule type="cellIs" dxfId="64" priority="24" operator="equal">
      <formula>"ERROR"</formula>
    </cfRule>
  </conditionalFormatting>
  <conditionalFormatting sqref="G24">
    <cfRule type="cellIs" dxfId="63" priority="22" operator="equal">
      <formula>"CM ERROR"</formula>
    </cfRule>
  </conditionalFormatting>
  <conditionalFormatting sqref="C39">
    <cfRule type="cellIs" dxfId="62" priority="21" operator="equal">
      <formula>"W/CM ERROR"</formula>
    </cfRule>
  </conditionalFormatting>
  <conditionalFormatting sqref="F14:F18">
    <cfRule type="cellIs" dxfId="61" priority="1" operator="equal">
      <formula>"GRAD. ?"</formula>
    </cfRule>
    <cfRule type="cellIs" dxfId="60" priority="2" operator="equal">
      <formula>"ENTER WTS."</formula>
    </cfRule>
    <cfRule type="cellIs" dxfId="59" priority="19" operator="equal">
      <formula>"SG?"</formula>
    </cfRule>
  </conditionalFormatting>
  <conditionalFormatting sqref="C32:C36">
    <cfRule type="cellIs" dxfId="58" priority="18" operator="equal">
      <formula>"CM ERROR"</formula>
    </cfRule>
  </conditionalFormatting>
  <conditionalFormatting sqref="C38">
    <cfRule type="cellIs" dxfId="57" priority="13" operator="lessThan">
      <formula>1.25</formula>
    </cfRule>
    <cfRule type="cellIs" dxfId="56" priority="17" operator="equal">
      <formula>"CM ERROR"</formula>
    </cfRule>
  </conditionalFormatting>
  <conditionalFormatting sqref="C35">
    <cfRule type="cellIs" dxfId="55" priority="6" operator="equal">
      <formula>"SCM ERROR"</formula>
    </cfRule>
    <cfRule type="cellIs" dxfId="54" priority="16" operator="equal">
      <formula>"AIR ?"</formula>
    </cfRule>
  </conditionalFormatting>
  <conditionalFormatting sqref="G25">
    <cfRule type="cellIs" dxfId="53" priority="15" operator="equal">
      <formula>"AIR ?"</formula>
    </cfRule>
  </conditionalFormatting>
  <conditionalFormatting sqref="C36:C38">
    <cfRule type="cellIs" dxfId="52" priority="14" operator="equal">
      <formula>"VOID CONT.?"</formula>
    </cfRule>
  </conditionalFormatting>
  <conditionalFormatting sqref="C32:C34">
    <cfRule type="cellIs" dxfId="51" priority="12" operator="equal">
      <formula>"AGG. ERROR"</formula>
    </cfRule>
  </conditionalFormatting>
  <conditionalFormatting sqref="F20">
    <cfRule type="cellIs" dxfId="50" priority="7" operator="equal">
      <formula>"SG?"</formula>
    </cfRule>
  </conditionalFormatting>
  <conditionalFormatting sqref="F21">
    <cfRule type="cellIs" dxfId="49" priority="5" operator="equal">
      <formula>"SG?"</formula>
    </cfRule>
  </conditionalFormatting>
  <conditionalFormatting sqref="F22:F23">
    <cfRule type="cellIs" dxfId="48" priority="4" operator="equal">
      <formula>"SG?"</formula>
    </cfRule>
  </conditionalFormatting>
  <printOptions verticalCentered="1"/>
  <pageMargins left="0.25" right="0.25" top="0.75" bottom="0.75" header="0.3" footer="0.3"/>
  <pageSetup scale="54" fitToWidth="0" fitToHeight="0" orientation="landscape" r:id="rId1"/>
  <headerFooter>
    <oddFooter>&amp;L&amp;9&amp;A&amp;C&amp;9&amp;P of &amp;N&amp;R&amp;9&amp;F</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61" operator="greaterThan" id="{33C511FD-CFD5-4102-98B5-CC9ECB5405EE}">
            <xm:f>'3 Paste Quality'!$C$28</xm:f>
            <x14:dxf>
              <fill>
                <patternFill>
                  <bgColor rgb="FFFF730E"/>
                </patternFill>
              </fill>
            </x14:dxf>
          </x14:cfRule>
          <xm:sqref>C39</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showInputMessage="1" showErrorMessage="1" errorTitle="WARNING" error="Please use drop down menu to fill in the cell." xr:uid="{D6AA780E-CB1E-4FD4-BA1D-5CB847BE626F}">
          <x14:formula1>
            <xm:f>'6 Agg Analysis'!$AG$42:$AG$46</xm:f>
          </x14:formula1>
          <xm:sqref>E54:F56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E029-F5FC-41A2-95DD-07DA8C5498E2}">
  <dimension ref="A1:N113"/>
  <sheetViews>
    <sheetView showGridLines="0" zoomScale="85" zoomScaleNormal="85" zoomScaleSheetLayoutView="90" workbookViewId="0">
      <selection activeCell="D13" sqref="D13:G13"/>
    </sheetView>
  </sheetViews>
  <sheetFormatPr defaultColWidth="6.5703125" defaultRowHeight="15.75" x14ac:dyDescent="0.25"/>
  <cols>
    <col min="1" max="1" width="9.7109375" style="456" customWidth="1"/>
    <col min="2" max="2" width="11" style="456" customWidth="1"/>
    <col min="3" max="3" width="16.7109375" style="456" customWidth="1"/>
    <col min="4" max="4" width="8.28515625" style="456" customWidth="1"/>
    <col min="5" max="5" width="5.5703125" style="456" customWidth="1"/>
    <col min="6" max="6" width="8.28515625" style="456" customWidth="1"/>
    <col min="7" max="7" width="4.42578125" style="456" customWidth="1"/>
    <col min="8" max="8" width="8.28515625" style="456" customWidth="1"/>
    <col min="9" max="9" width="11.140625" style="456" customWidth="1"/>
    <col min="10" max="11" width="3.28515625" style="456" customWidth="1"/>
    <col min="12" max="12" width="10.42578125" style="456" customWidth="1"/>
    <col min="13" max="13" width="3.28515625" style="456" customWidth="1"/>
    <col min="14" max="14" width="11.7109375" style="456" customWidth="1"/>
    <col min="15" max="16384" width="6.5703125" style="456"/>
  </cols>
  <sheetData>
    <row r="1" spans="1:14" x14ac:dyDescent="0.25">
      <c r="A1" s="1272" t="s">
        <v>379</v>
      </c>
      <c r="B1" s="1273"/>
      <c r="C1" s="1273"/>
      <c r="D1" s="1273"/>
      <c r="E1" s="1273"/>
      <c r="F1" s="1273"/>
      <c r="G1" s="1273"/>
      <c r="H1" s="1273"/>
      <c r="I1" s="1273"/>
      <c r="J1" s="1270" t="s">
        <v>365</v>
      </c>
      <c r="K1" s="1270"/>
      <c r="L1" s="1270"/>
      <c r="M1" s="1270"/>
      <c r="N1" s="1271"/>
    </row>
    <row r="2" spans="1:14" x14ac:dyDescent="0.25">
      <c r="A2" s="1274" t="str">
        <f>Directions!A2</f>
        <v>DT2221     08/2022</v>
      </c>
      <c r="B2" s="1275"/>
      <c r="C2" s="1275"/>
      <c r="D2" s="1275"/>
      <c r="E2" s="1275"/>
      <c r="F2" s="1275"/>
      <c r="G2" s="1275"/>
      <c r="H2" s="1275"/>
      <c r="I2" s="1275"/>
      <c r="J2" s="1275"/>
      <c r="K2" s="1275"/>
      <c r="L2" s="1275"/>
      <c r="M2" s="1275"/>
      <c r="N2" s="1276"/>
    </row>
    <row r="3" spans="1:14" x14ac:dyDescent="0.25">
      <c r="A3" s="1194" t="s">
        <v>345</v>
      </c>
      <c r="B3" s="1195"/>
      <c r="C3" s="1195"/>
      <c r="D3" s="1195"/>
      <c r="E3" s="1195"/>
      <c r="F3" s="1195"/>
      <c r="G3" s="1195"/>
      <c r="H3" s="1196"/>
      <c r="I3" s="1200" t="s">
        <v>374</v>
      </c>
      <c r="J3" s="1201"/>
      <c r="K3" s="529"/>
      <c r="L3" s="1202">
        <f>IF(ISBLANK('2 Aggregate System'!I3),"",'2 Aggregate System'!I3)</f>
        <v>0</v>
      </c>
      <c r="M3" s="1202"/>
      <c r="N3" s="1203"/>
    </row>
    <row r="4" spans="1:14" s="405" customFormat="1" x14ac:dyDescent="0.25">
      <c r="A4" s="1197" t="s">
        <v>14</v>
      </c>
      <c r="B4" s="1198"/>
      <c r="C4" s="1198"/>
      <c r="D4" s="1198"/>
      <c r="E4" s="1198"/>
      <c r="F4" s="1198"/>
      <c r="G4" s="1198"/>
      <c r="H4" s="1198"/>
      <c r="I4" s="1198"/>
      <c r="J4" s="1198"/>
      <c r="K4" s="1198"/>
      <c r="L4" s="1198"/>
      <c r="M4" s="1198"/>
      <c r="N4" s="1199"/>
    </row>
    <row r="5" spans="1:14" s="405" customFormat="1" x14ac:dyDescent="0.25">
      <c r="A5" s="880" t="s">
        <v>15</v>
      </c>
      <c r="B5" s="877"/>
      <c r="C5" s="877"/>
      <c r="D5" s="877"/>
      <c r="E5" s="876" t="s">
        <v>16</v>
      </c>
      <c r="F5" s="877"/>
      <c r="G5" s="964"/>
      <c r="H5" s="876" t="s">
        <v>17</v>
      </c>
      <c r="I5" s="877"/>
      <c r="J5" s="877"/>
      <c r="K5" s="964"/>
      <c r="L5" s="876" t="s">
        <v>18</v>
      </c>
      <c r="M5" s="877"/>
      <c r="N5" s="965"/>
    </row>
    <row r="6" spans="1:14" s="405" customFormat="1" x14ac:dyDescent="0.25">
      <c r="A6" s="943">
        <f>IF(ISBLANK('2 Aggregate System'!A5),"",'2 Aggregate System'!A5)</f>
        <v>0</v>
      </c>
      <c r="B6" s="1204"/>
      <c r="C6" s="1204"/>
      <c r="D6" s="1204"/>
      <c r="E6" s="930">
        <f>IF(ISBLANK('2 Aggregate System'!C5),"",'2 Aggregate System'!C5)</f>
        <v>0</v>
      </c>
      <c r="F6" s="1204"/>
      <c r="G6" s="931"/>
      <c r="H6" s="930">
        <f>IF(ISBLANK('2 Aggregate System'!E5),"",'2 Aggregate System'!E5)</f>
        <v>0</v>
      </c>
      <c r="I6" s="1204"/>
      <c r="J6" s="1204"/>
      <c r="K6" s="931"/>
      <c r="L6" s="930">
        <f>IF(ISBLANK('2 Aggregate System'!H5),"",'2 Aggregate System'!H5)</f>
        <v>0</v>
      </c>
      <c r="M6" s="1204"/>
      <c r="N6" s="932"/>
    </row>
    <row r="7" spans="1:14" s="405" customFormat="1" x14ac:dyDescent="0.25">
      <c r="A7" s="1205" t="s">
        <v>19</v>
      </c>
      <c r="B7" s="1206"/>
      <c r="C7" s="1206"/>
      <c r="D7" s="1206"/>
      <c r="E7" s="933" t="s">
        <v>20</v>
      </c>
      <c r="F7" s="934"/>
      <c r="G7" s="934"/>
      <c r="H7" s="934"/>
      <c r="I7" s="934"/>
      <c r="J7" s="934"/>
      <c r="K7" s="934"/>
      <c r="L7" s="934"/>
      <c r="M7" s="934"/>
      <c r="N7" s="1207"/>
    </row>
    <row r="8" spans="1:14" s="405" customFormat="1" x14ac:dyDescent="0.25">
      <c r="A8" s="943" t="str">
        <f>IF(ISBLANK('2 Aggregate System'!A7),"",'2 Aggregate System'!A7)</f>
        <v/>
      </c>
      <c r="B8" s="1204"/>
      <c r="C8" s="1204"/>
      <c r="D8" s="931"/>
      <c r="E8" s="930">
        <f>IF(ISBLANK('2 Aggregate System'!E7),"",'2 Aggregate System'!E7)</f>
        <v>0</v>
      </c>
      <c r="F8" s="1204"/>
      <c r="G8" s="1204"/>
      <c r="H8" s="1204"/>
      <c r="I8" s="1204"/>
      <c r="J8" s="1204"/>
      <c r="K8" s="1204"/>
      <c r="L8" s="1204"/>
      <c r="M8" s="1204"/>
      <c r="N8" s="932"/>
    </row>
    <row r="9" spans="1:14" s="405" customFormat="1" x14ac:dyDescent="0.25">
      <c r="A9" s="920" t="s">
        <v>21</v>
      </c>
      <c r="B9" s="914"/>
      <c r="C9" s="914"/>
      <c r="D9" s="914"/>
      <c r="E9" s="876" t="s">
        <v>22</v>
      </c>
      <c r="F9" s="877"/>
      <c r="G9" s="877"/>
      <c r="H9" s="877"/>
      <c r="I9" s="877"/>
      <c r="J9" s="877"/>
      <c r="K9" s="877"/>
      <c r="L9" s="877"/>
      <c r="M9" s="877"/>
      <c r="N9" s="965"/>
    </row>
    <row r="10" spans="1:14" s="405" customFormat="1" ht="16.5" thickBot="1" x14ac:dyDescent="0.3">
      <c r="A10" s="945">
        <f>IF(ISBLANK('2 Aggregate System'!A9),"",'2 Aggregate System'!A9)</f>
        <v>0</v>
      </c>
      <c r="B10" s="916"/>
      <c r="C10" s="916"/>
      <c r="D10" s="916"/>
      <c r="E10" s="1208">
        <f>IF(ISBLANK('2 Aggregate System'!E9),"",'2 Aggregate System'!E9)</f>
        <v>0</v>
      </c>
      <c r="F10" s="1209"/>
      <c r="G10" s="1209"/>
      <c r="H10" s="1209"/>
      <c r="I10" s="1209"/>
      <c r="J10" s="1209"/>
      <c r="K10" s="1209"/>
      <c r="L10" s="1209"/>
      <c r="M10" s="1209"/>
      <c r="N10" s="1210"/>
    </row>
    <row r="11" spans="1:14" s="405" customFormat="1" ht="16.5" thickBot="1" x14ac:dyDescent="0.3">
      <c r="A11" s="745"/>
      <c r="B11" s="746"/>
      <c r="C11" s="746"/>
      <c r="D11" s="746"/>
      <c r="E11" s="746"/>
      <c r="F11" s="746"/>
      <c r="G11" s="746"/>
      <c r="H11" s="746"/>
      <c r="I11" s="746"/>
      <c r="J11" s="746"/>
      <c r="K11" s="746"/>
      <c r="L11" s="746"/>
      <c r="M11" s="746"/>
      <c r="N11" s="747"/>
    </row>
    <row r="12" spans="1:14" x14ac:dyDescent="0.25">
      <c r="A12" s="1212" t="s">
        <v>109</v>
      </c>
      <c r="B12" s="1213"/>
      <c r="C12" s="1213"/>
      <c r="D12" s="1214" t="str">
        <f>'1 Certification'!E22</f>
        <v>0 - OAG</v>
      </c>
      <c r="E12" s="1215"/>
      <c r="F12" s="1215"/>
      <c r="G12" s="1216"/>
      <c r="L12" s="1217"/>
      <c r="M12" s="1217"/>
      <c r="N12" s="1218"/>
    </row>
    <row r="13" spans="1:14" ht="15.6" customHeight="1" x14ac:dyDescent="0.25">
      <c r="A13" s="1219" t="s">
        <v>110</v>
      </c>
      <c r="B13" s="1220"/>
      <c r="C13" s="1220"/>
      <c r="D13" s="1221"/>
      <c r="E13" s="1221"/>
      <c r="F13" s="1221"/>
      <c r="G13" s="1222"/>
      <c r="N13" s="482"/>
    </row>
    <row r="14" spans="1:14" x14ac:dyDescent="0.25">
      <c r="A14" s="1219" t="s">
        <v>111</v>
      </c>
      <c r="B14" s="1220"/>
      <c r="C14" s="1220"/>
      <c r="D14" s="1225" t="s">
        <v>112</v>
      </c>
      <c r="E14" s="1225"/>
      <c r="F14" s="1225"/>
      <c r="G14" s="1226"/>
      <c r="H14" s="486"/>
      <c r="L14" s="1227"/>
      <c r="M14" s="1227"/>
      <c r="N14" s="1228"/>
    </row>
    <row r="15" spans="1:14" ht="16.5" thickBot="1" x14ac:dyDescent="0.3">
      <c r="A15" s="1229" t="s">
        <v>113</v>
      </c>
      <c r="B15" s="1230"/>
      <c r="C15" s="1230"/>
      <c r="D15" s="1231" t="s">
        <v>114</v>
      </c>
      <c r="E15" s="1231"/>
      <c r="F15" s="1231"/>
      <c r="G15" s="1232"/>
      <c r="H15" s="486"/>
      <c r="J15" s="487"/>
      <c r="K15" s="487"/>
      <c r="L15" s="1223" t="str">
        <f>Directions!N8</f>
        <v>Version 2.1</v>
      </c>
      <c r="M15" s="1223"/>
      <c r="N15" s="1224"/>
    </row>
    <row r="16" spans="1:14" x14ac:dyDescent="0.25">
      <c r="A16" s="1304" t="s">
        <v>508</v>
      </c>
      <c r="B16" s="1305"/>
      <c r="C16" s="1233" t="str">
        <f>IF('7 Calculation Check'!W5=0,"-",'7 Calculation Check'!W5)</f>
        <v>-</v>
      </c>
      <c r="D16" s="1234"/>
      <c r="E16" s="1234"/>
      <c r="F16" s="1234"/>
      <c r="G16" s="1235"/>
      <c r="H16" s="486"/>
      <c r="J16" s="487"/>
      <c r="K16" s="487"/>
      <c r="L16" s="457"/>
      <c r="M16" s="457"/>
      <c r="N16" s="482"/>
    </row>
    <row r="17" spans="1:14" x14ac:dyDescent="0.25">
      <c r="A17" s="1306" t="s">
        <v>509</v>
      </c>
      <c r="B17" s="1307"/>
      <c r="C17" s="1236" t="str">
        <f>IF('7 Calculation Check'!W6=0,"-",'7 Calculation Check'!W6)</f>
        <v>-</v>
      </c>
      <c r="D17" s="1225"/>
      <c r="E17" s="1225"/>
      <c r="F17" s="1225"/>
      <c r="G17" s="1226"/>
      <c r="H17" s="486"/>
      <c r="N17" s="482"/>
    </row>
    <row r="18" spans="1:14" x14ac:dyDescent="0.25">
      <c r="A18" s="1306" t="s">
        <v>510</v>
      </c>
      <c r="B18" s="1307"/>
      <c r="C18" s="1236" t="str">
        <f>IF('7 Calculation Check'!W7=0,"-",'7 Calculation Check'!W7)</f>
        <v>-</v>
      </c>
      <c r="D18" s="1225"/>
      <c r="E18" s="1225"/>
      <c r="F18" s="1225"/>
      <c r="G18" s="1226"/>
      <c r="H18" s="486"/>
      <c r="N18" s="482"/>
    </row>
    <row r="19" spans="1:14" x14ac:dyDescent="0.25">
      <c r="A19" s="1306" t="s">
        <v>511</v>
      </c>
      <c r="B19" s="1307"/>
      <c r="C19" s="1236" t="str">
        <f>IF('7 Calculation Check'!W8=0,"-",'7 Calculation Check'!W8)</f>
        <v>-</v>
      </c>
      <c r="D19" s="1225"/>
      <c r="E19" s="1225"/>
      <c r="F19" s="1225"/>
      <c r="G19" s="1226"/>
      <c r="H19" s="486"/>
      <c r="J19" s="487"/>
      <c r="K19" s="487"/>
      <c r="L19" s="457"/>
      <c r="M19" s="457"/>
      <c r="N19" s="482"/>
    </row>
    <row r="20" spans="1:14" ht="16.5" thickBot="1" x14ac:dyDescent="0.3">
      <c r="A20" s="1308" t="s">
        <v>512</v>
      </c>
      <c r="B20" s="1309"/>
      <c r="C20" s="1301" t="str">
        <f>IF('7 Calculation Check'!W9=0,"-",'7 Calculation Check'!W9)</f>
        <v>-</v>
      </c>
      <c r="D20" s="1302"/>
      <c r="E20" s="1302"/>
      <c r="F20" s="1302"/>
      <c r="G20" s="1303"/>
      <c r="H20" s="486"/>
      <c r="J20" s="487"/>
      <c r="K20" s="487"/>
      <c r="L20" s="457"/>
      <c r="M20" s="457"/>
      <c r="N20" s="482"/>
    </row>
    <row r="21" spans="1:14" ht="42" customHeight="1" thickBot="1" x14ac:dyDescent="0.3">
      <c r="A21" s="488"/>
      <c r="G21" s="1211" t="s">
        <v>155</v>
      </c>
      <c r="H21" s="1211"/>
      <c r="I21" s="1211"/>
      <c r="J21" s="1211"/>
      <c r="K21" s="1211"/>
      <c r="L21" s="1211"/>
      <c r="M21" s="457"/>
      <c r="N21" s="482"/>
    </row>
    <row r="22" spans="1:14" ht="16.5" thickBot="1" x14ac:dyDescent="0.3">
      <c r="A22" s="488"/>
      <c r="G22" s="1237">
        <v>1</v>
      </c>
      <c r="H22" s="1238"/>
      <c r="I22" s="1238">
        <v>2</v>
      </c>
      <c r="J22" s="1238"/>
      <c r="K22" s="1238">
        <v>3</v>
      </c>
      <c r="L22" s="1239"/>
      <c r="M22" s="489"/>
      <c r="N22" s="490"/>
    </row>
    <row r="23" spans="1:14" x14ac:dyDescent="0.25">
      <c r="A23" s="458" t="s">
        <v>115</v>
      </c>
      <c r="B23" s="459"/>
      <c r="C23" s="459"/>
      <c r="D23" s="459"/>
      <c r="E23" s="459"/>
      <c r="F23" s="460"/>
      <c r="G23" s="1240"/>
      <c r="H23" s="1241"/>
      <c r="I23" s="1240"/>
      <c r="J23" s="1241"/>
      <c r="K23" s="1240"/>
      <c r="L23" s="1242"/>
      <c r="M23" s="725"/>
      <c r="N23" s="490"/>
    </row>
    <row r="24" spans="1:14" x14ac:dyDescent="0.25">
      <c r="A24" s="461" t="s">
        <v>154</v>
      </c>
      <c r="B24" s="462"/>
      <c r="C24" s="462"/>
      <c r="D24" s="462"/>
      <c r="E24" s="462"/>
      <c r="F24" s="463"/>
      <c r="G24" s="1243"/>
      <c r="H24" s="1244"/>
      <c r="I24" s="1245" t="str">
        <f>IF($G$24="","",$G$24)</f>
        <v/>
      </c>
      <c r="J24" s="1246"/>
      <c r="K24" s="1245" t="str">
        <f>IF($G$24="","",$G$24)</f>
        <v/>
      </c>
      <c r="L24" s="1246"/>
      <c r="M24" s="725"/>
      <c r="N24" s="490"/>
    </row>
    <row r="25" spans="1:14" ht="16.5" thickBot="1" x14ac:dyDescent="0.3">
      <c r="A25" s="461" t="s">
        <v>116</v>
      </c>
      <c r="B25" s="462"/>
      <c r="C25" s="462"/>
      <c r="D25" s="462"/>
      <c r="E25" s="462"/>
      <c r="F25" s="463"/>
      <c r="G25" s="1245" t="str">
        <f>IF(G24=0,"",G23-G24)</f>
        <v/>
      </c>
      <c r="H25" s="1247"/>
      <c r="I25" s="1245" t="str">
        <f>IFERROR(I23-I24,"")</f>
        <v/>
      </c>
      <c r="J25" s="1247"/>
      <c r="K25" s="1245" t="str">
        <f>IFERROR(K23-K24,"")</f>
        <v/>
      </c>
      <c r="L25" s="1247"/>
      <c r="M25" s="464"/>
      <c r="N25" s="491"/>
    </row>
    <row r="26" spans="1:14" x14ac:dyDescent="0.25">
      <c r="A26" s="461" t="s">
        <v>117</v>
      </c>
      <c r="B26" s="462"/>
      <c r="C26" s="462"/>
      <c r="D26" s="462"/>
      <c r="E26" s="462"/>
      <c r="F26" s="463"/>
      <c r="G26" s="1248"/>
      <c r="H26" s="1249"/>
      <c r="I26" s="1250" t="str">
        <f>IF($G$26=0,"",$G$26)</f>
        <v/>
      </c>
      <c r="J26" s="1247"/>
      <c r="K26" s="1250" t="str">
        <f>IF($G$26=0,"",$G$26)</f>
        <v/>
      </c>
      <c r="L26" s="1247"/>
      <c r="M26" s="1214" t="s">
        <v>118</v>
      </c>
      <c r="N26" s="1216"/>
    </row>
    <row r="27" spans="1:14" x14ac:dyDescent="0.25">
      <c r="A27" s="461" t="s">
        <v>119</v>
      </c>
      <c r="B27" s="462"/>
      <c r="C27" s="462"/>
      <c r="D27" s="466"/>
      <c r="E27" s="466"/>
      <c r="F27" s="467"/>
      <c r="G27" s="1251" t="str">
        <f>IFERROR(G25/G26,"")</f>
        <v/>
      </c>
      <c r="H27" s="1252"/>
      <c r="I27" s="1251" t="str">
        <f>IFERROR(I25/I26,"")</f>
        <v/>
      </c>
      <c r="J27" s="1252"/>
      <c r="K27" s="1251" t="str">
        <f>IFERROR(K25/K26,"")</f>
        <v/>
      </c>
      <c r="L27" s="1252"/>
      <c r="M27" s="1251" t="str">
        <f>IFERROR(AVERAGE(G27:L27),"")</f>
        <v/>
      </c>
      <c r="N27" s="1253"/>
    </row>
    <row r="28" spans="1:14" x14ac:dyDescent="0.25">
      <c r="A28" s="461" t="s">
        <v>120</v>
      </c>
      <c r="B28" s="462"/>
      <c r="C28" s="462"/>
      <c r="D28" s="462"/>
      <c r="E28" s="462"/>
      <c r="F28" s="468"/>
      <c r="G28" s="1264" t="str">
        <f>IFERROR(J42,"")</f>
        <v/>
      </c>
      <c r="H28" s="1265"/>
      <c r="I28" s="1264" t="str">
        <f>IFERROR(J42,"")</f>
        <v/>
      </c>
      <c r="J28" s="1265"/>
      <c r="K28" s="1264" t="str">
        <f>IFERROR(J42,"")</f>
        <v/>
      </c>
      <c r="L28" s="1265"/>
      <c r="M28" s="1264" t="str">
        <f>J42</f>
        <v/>
      </c>
      <c r="N28" s="1266"/>
    </row>
    <row r="29" spans="1:14" ht="16.5" thickBot="1" x14ac:dyDescent="0.3">
      <c r="A29" s="469" t="s">
        <v>121</v>
      </c>
      <c r="B29" s="470"/>
      <c r="C29" s="470"/>
      <c r="D29" s="470"/>
      <c r="E29" s="470"/>
      <c r="F29" s="471"/>
      <c r="G29" s="1267" t="str">
        <f>IFERROR(100*((G28*62.3)-G27)/(G28*62.3),"")</f>
        <v/>
      </c>
      <c r="H29" s="1268"/>
      <c r="I29" s="1267" t="str">
        <f>IFERROR(100*((I28*62.3)-I27)/(I28*62.3),"")</f>
        <v/>
      </c>
      <c r="J29" s="1268"/>
      <c r="K29" s="1267" t="str">
        <f>IFERROR(100*((K28*62.3)-K27)/(K28*62.3),"")</f>
        <v/>
      </c>
      <c r="L29" s="1268"/>
      <c r="M29" s="1267" t="str">
        <f>IFERROR(AVERAGE(G29:L29),"")</f>
        <v/>
      </c>
      <c r="N29" s="1269"/>
    </row>
    <row r="30" spans="1:14" ht="16.5" thickBot="1" x14ac:dyDescent="0.3">
      <c r="A30" s="488"/>
      <c r="N30" s="482"/>
    </row>
    <row r="31" spans="1:14" ht="18.75" x14ac:dyDescent="0.35">
      <c r="A31" s="1254" t="s">
        <v>122</v>
      </c>
      <c r="B31" s="1255"/>
      <c r="C31" s="1255"/>
      <c r="D31" s="472" t="s">
        <v>123</v>
      </c>
      <c r="J31" s="457" t="s">
        <v>346</v>
      </c>
      <c r="K31" s="492" t="s">
        <v>127</v>
      </c>
      <c r="L31" s="751" t="e">
        <f>'6 Agg Analysis'!AE34</f>
        <v>#DIV/0!</v>
      </c>
      <c r="M31" s="456" t="s">
        <v>32</v>
      </c>
      <c r="N31" s="482"/>
    </row>
    <row r="32" spans="1:14" ht="19.5" thickBot="1" x14ac:dyDescent="0.4">
      <c r="A32" s="1256" t="s">
        <v>124</v>
      </c>
      <c r="B32" s="1257"/>
      <c r="C32" s="1257"/>
      <c r="D32" s="473" t="s">
        <v>125</v>
      </c>
      <c r="J32" s="457" t="s">
        <v>347</v>
      </c>
      <c r="K32" s="492" t="s">
        <v>127</v>
      </c>
      <c r="L32" s="751" t="e">
        <f>'6 Agg Analysis'!AE35</f>
        <v>#DIV/0!</v>
      </c>
      <c r="M32" s="456" t="s">
        <v>32</v>
      </c>
      <c r="N32" s="482"/>
    </row>
    <row r="33" spans="1:14" ht="19.5" thickBot="1" x14ac:dyDescent="0.4">
      <c r="A33" s="488"/>
      <c r="J33" s="457" t="s">
        <v>348</v>
      </c>
      <c r="K33" s="492" t="s">
        <v>127</v>
      </c>
      <c r="L33" s="751" t="e">
        <f>'6 Agg Analysis'!AE36</f>
        <v>#DIV/0!</v>
      </c>
      <c r="M33" s="456" t="s">
        <v>32</v>
      </c>
      <c r="N33" s="482"/>
    </row>
    <row r="34" spans="1:14" ht="18.75" x14ac:dyDescent="0.35">
      <c r="A34" s="1258" t="s">
        <v>126</v>
      </c>
      <c r="B34" s="1259"/>
      <c r="C34" s="1259"/>
      <c r="D34" s="1215">
        <v>1</v>
      </c>
      <c r="E34" s="1215"/>
      <c r="F34" s="1215"/>
      <c r="G34" s="1215"/>
      <c r="H34" s="1216"/>
      <c r="J34" s="457" t="s">
        <v>349</v>
      </c>
      <c r="K34" s="492" t="s">
        <v>127</v>
      </c>
      <c r="L34" s="751" t="e">
        <f>'6 Agg Analysis'!AE37</f>
        <v>#DIV/0!</v>
      </c>
      <c r="M34" s="456" t="s">
        <v>32</v>
      </c>
      <c r="N34" s="482"/>
    </row>
    <row r="35" spans="1:14" ht="18.75" x14ac:dyDescent="0.35">
      <c r="A35" s="1260"/>
      <c r="B35" s="1261"/>
      <c r="C35" s="1261"/>
      <c r="D35" s="474" t="s">
        <v>346</v>
      </c>
      <c r="E35" s="475" t="s">
        <v>128</v>
      </c>
      <c r="F35" s="474" t="s">
        <v>349</v>
      </c>
      <c r="G35" s="476" t="s">
        <v>128</v>
      </c>
      <c r="H35" s="477" t="s">
        <v>350</v>
      </c>
      <c r="J35" s="457" t="s">
        <v>351</v>
      </c>
      <c r="K35" s="492" t="s">
        <v>127</v>
      </c>
      <c r="L35" s="751" t="e">
        <f>'6 Agg Analysis'!AE38</f>
        <v>#DIV/0!</v>
      </c>
      <c r="M35" s="456" t="s">
        <v>32</v>
      </c>
      <c r="N35" s="482"/>
    </row>
    <row r="36" spans="1:14" ht="19.5" thickBot="1" x14ac:dyDescent="0.4">
      <c r="A36" s="1262" t="s">
        <v>129</v>
      </c>
      <c r="B36" s="1263"/>
      <c r="C36" s="1263"/>
      <c r="D36" s="723" t="s">
        <v>352</v>
      </c>
      <c r="E36" s="724"/>
      <c r="F36" s="723" t="s">
        <v>353</v>
      </c>
      <c r="G36" s="465"/>
      <c r="H36" s="473" t="s">
        <v>354</v>
      </c>
      <c r="J36" s="489" t="s">
        <v>355</v>
      </c>
      <c r="K36" s="493" t="s">
        <v>127</v>
      </c>
      <c r="L36" s="478">
        <f>IF('2 Aggregate System'!G13=0,1,'2 Aggregate System'!G13)</f>
        <v>1</v>
      </c>
      <c r="N36" s="482"/>
    </row>
    <row r="37" spans="1:14" ht="18.75" x14ac:dyDescent="0.25">
      <c r="A37" s="479" t="s">
        <v>130</v>
      </c>
      <c r="B37" s="480"/>
      <c r="C37" s="480"/>
      <c r="D37" s="480"/>
      <c r="E37" s="480"/>
      <c r="F37" s="480"/>
      <c r="G37" s="480"/>
      <c r="H37" s="481"/>
      <c r="J37" s="489" t="s">
        <v>356</v>
      </c>
      <c r="K37" s="493" t="s">
        <v>127</v>
      </c>
      <c r="L37" s="478">
        <f>IF('2 Aggregate System'!G14=0,1,'2 Aggregate System'!G14)</f>
        <v>1</v>
      </c>
      <c r="M37" s="494"/>
      <c r="N37" s="482"/>
    </row>
    <row r="38" spans="1:14" ht="18.75" x14ac:dyDescent="0.35">
      <c r="A38" s="1299" t="s">
        <v>435</v>
      </c>
      <c r="B38" s="1300"/>
      <c r="C38" s="456" t="s">
        <v>131</v>
      </c>
      <c r="H38" s="482"/>
      <c r="J38" s="489" t="s">
        <v>357</v>
      </c>
      <c r="K38" s="493" t="s">
        <v>127</v>
      </c>
      <c r="L38" s="478">
        <f>IF('2 Aggregate System'!G15=0,1,'2 Aggregate System'!G15)</f>
        <v>1</v>
      </c>
      <c r="M38" s="494"/>
      <c r="N38" s="482"/>
    </row>
    <row r="39" spans="1:14" ht="19.5" thickBot="1" x14ac:dyDescent="0.4">
      <c r="A39" s="1285" t="s">
        <v>436</v>
      </c>
      <c r="B39" s="1286"/>
      <c r="C39" s="470" t="s">
        <v>132</v>
      </c>
      <c r="D39" s="470"/>
      <c r="E39" s="470"/>
      <c r="F39" s="470"/>
      <c r="G39" s="470"/>
      <c r="H39" s="483"/>
      <c r="J39" s="489" t="s">
        <v>358</v>
      </c>
      <c r="K39" s="493" t="s">
        <v>127</v>
      </c>
      <c r="L39" s="478">
        <f>IF('2 Aggregate System'!G16=0,1,'2 Aggregate System'!G16)</f>
        <v>1</v>
      </c>
      <c r="M39" s="494"/>
      <c r="N39" s="482"/>
    </row>
    <row r="40" spans="1:14" ht="18.75" x14ac:dyDescent="0.25">
      <c r="A40" s="488"/>
      <c r="J40" s="489" t="s">
        <v>359</v>
      </c>
      <c r="K40" s="493" t="s">
        <v>127</v>
      </c>
      <c r="L40" s="478">
        <f>IF('2 Aggregate System'!G17=0,1,'2 Aggregate System'!G17)</f>
        <v>1</v>
      </c>
      <c r="N40" s="482"/>
    </row>
    <row r="41" spans="1:14" ht="16.5" thickBot="1" x14ac:dyDescent="0.3">
      <c r="A41" s="488"/>
      <c r="J41" s="489"/>
      <c r="K41" s="493"/>
      <c r="L41" s="484"/>
      <c r="N41" s="482"/>
    </row>
    <row r="42" spans="1:14" x14ac:dyDescent="0.25">
      <c r="A42" s="1277" t="s">
        <v>133</v>
      </c>
      <c r="B42" s="1278"/>
      <c r="C42" s="1278"/>
      <c r="D42" s="1215">
        <v>1</v>
      </c>
      <c r="E42" s="1215"/>
      <c r="F42" s="1215"/>
      <c r="G42" s="1215"/>
      <c r="H42" s="1216"/>
      <c r="I42" s="1259" t="s">
        <v>127</v>
      </c>
      <c r="J42" s="1288" t="str">
        <f>IFERROR(1/((L31/(L36*100))+(L32/(L37*100))+(L33/(L38*100))+(L34/(L39*100))+(L35/(L40*100))),"")</f>
        <v/>
      </c>
      <c r="K42" s="1289"/>
      <c r="L42" s="1290"/>
      <c r="N42" s="482"/>
    </row>
    <row r="43" spans="1:14" ht="18.75" x14ac:dyDescent="0.35">
      <c r="A43" s="1297" t="s">
        <v>129</v>
      </c>
      <c r="B43" s="1298"/>
      <c r="C43" s="1298"/>
      <c r="D43" s="474" t="s">
        <v>346</v>
      </c>
      <c r="E43" s="475" t="s">
        <v>128</v>
      </c>
      <c r="F43" s="474" t="s">
        <v>349</v>
      </c>
      <c r="G43" s="476" t="s">
        <v>128</v>
      </c>
      <c r="H43" s="477" t="s">
        <v>350</v>
      </c>
      <c r="I43" s="1261"/>
      <c r="J43" s="1291"/>
      <c r="K43" s="1292"/>
      <c r="L43" s="1293"/>
      <c r="N43" s="482"/>
    </row>
    <row r="44" spans="1:14" ht="19.5" thickBot="1" x14ac:dyDescent="0.4">
      <c r="A44" s="469"/>
      <c r="B44" s="470"/>
      <c r="C44" s="470"/>
      <c r="D44" s="724" t="s">
        <v>352</v>
      </c>
      <c r="E44" s="724"/>
      <c r="F44" s="724" t="s">
        <v>353</v>
      </c>
      <c r="G44" s="465"/>
      <c r="H44" s="473" t="s">
        <v>354</v>
      </c>
      <c r="I44" s="1287"/>
      <c r="J44" s="1294"/>
      <c r="K44" s="1295"/>
      <c r="L44" s="1296"/>
      <c r="N44" s="482"/>
    </row>
    <row r="45" spans="1:14" ht="16.5" thickBot="1" x14ac:dyDescent="0.3">
      <c r="A45" s="488"/>
      <c r="G45" s="485"/>
      <c r="H45" s="723"/>
      <c r="I45" s="485"/>
      <c r="J45" s="723"/>
      <c r="K45" s="723"/>
      <c r="L45" s="485"/>
      <c r="M45" s="485"/>
      <c r="N45" s="482"/>
    </row>
    <row r="46" spans="1:14" x14ac:dyDescent="0.25">
      <c r="A46" s="1277" t="s">
        <v>134</v>
      </c>
      <c r="B46" s="1278"/>
      <c r="C46" s="1279" t="s">
        <v>135</v>
      </c>
      <c r="D46" s="1279"/>
      <c r="E46" s="1280" t="str">
        <f>IFERROR(ROUND(M29,0),"")</f>
        <v/>
      </c>
      <c r="F46" s="1281"/>
      <c r="N46" s="482"/>
    </row>
    <row r="47" spans="1:14" ht="16.5" thickBot="1" x14ac:dyDescent="0.3">
      <c r="A47" s="1256" t="s">
        <v>136</v>
      </c>
      <c r="B47" s="1257"/>
      <c r="C47" s="1284" t="s">
        <v>137</v>
      </c>
      <c r="D47" s="1284"/>
      <c r="E47" s="1282"/>
      <c r="F47" s="1283"/>
      <c r="G47" s="470"/>
      <c r="H47" s="470"/>
      <c r="I47" s="470"/>
      <c r="J47" s="470"/>
      <c r="K47" s="470"/>
      <c r="L47" s="470"/>
      <c r="M47" s="470"/>
      <c r="N47" s="483"/>
    </row>
    <row r="51" spans="5:14" x14ac:dyDescent="0.25">
      <c r="I51" s="457"/>
      <c r="J51" s="457"/>
      <c r="K51" s="457"/>
      <c r="L51" s="457"/>
      <c r="M51" s="457"/>
    </row>
    <row r="53" spans="5:14" x14ac:dyDescent="0.25">
      <c r="I53" s="457"/>
      <c r="J53" s="457"/>
      <c r="K53" s="457"/>
      <c r="L53" s="457"/>
      <c r="M53" s="457"/>
    </row>
    <row r="57" spans="5:14" x14ac:dyDescent="0.25">
      <c r="E57" s="485"/>
      <c r="F57" s="485"/>
      <c r="G57" s="485"/>
      <c r="H57" s="485"/>
      <c r="I57" s="485"/>
      <c r="J57" s="485"/>
      <c r="K57" s="485"/>
      <c r="L57" s="485"/>
      <c r="M57" s="485"/>
      <c r="N57" s="485"/>
    </row>
    <row r="58" spans="5:14" x14ac:dyDescent="0.25">
      <c r="G58" s="457"/>
      <c r="H58" s="457"/>
      <c r="I58" s="485"/>
      <c r="J58" s="485"/>
      <c r="K58" s="485"/>
      <c r="L58" s="485"/>
      <c r="M58" s="485"/>
    </row>
    <row r="59" spans="5:14" x14ac:dyDescent="0.25">
      <c r="I59" s="485"/>
      <c r="J59" s="485"/>
      <c r="K59" s="485"/>
      <c r="L59" s="485"/>
      <c r="M59" s="485"/>
    </row>
    <row r="61" spans="5:14" x14ac:dyDescent="0.25">
      <c r="G61" s="457"/>
      <c r="H61" s="457"/>
      <c r="I61" s="485"/>
      <c r="J61" s="485"/>
      <c r="K61" s="485"/>
    </row>
    <row r="62" spans="5:14" x14ac:dyDescent="0.25">
      <c r="I62" s="485"/>
      <c r="J62" s="485"/>
      <c r="K62" s="485"/>
    </row>
    <row r="64" spans="5:14" x14ac:dyDescent="0.25">
      <c r="G64" s="457"/>
      <c r="H64" s="457"/>
    </row>
    <row r="113" spans="2:5" x14ac:dyDescent="0.25">
      <c r="B113" s="718"/>
      <c r="C113" s="718"/>
      <c r="D113" s="718"/>
      <c r="E113" s="718"/>
    </row>
  </sheetData>
  <sheetProtection algorithmName="SHA-512" hashValue="E6k/4xQ1B+pNkQYlC4t+TS8Oum4dvnP6PhjRJCb2Qi50qAfgY9LEPsPfMQhL9+h78EH5aYE5q1zrp8HPpJaEvA==" saltValue="u0b19yv/NZWbTjE8k9l5vw==" spinCount="100000" sheet="1" selectLockedCells="1"/>
  <mergeCells count="90">
    <mergeCell ref="C20:G20"/>
    <mergeCell ref="A16:B16"/>
    <mergeCell ref="A17:B17"/>
    <mergeCell ref="A18:B18"/>
    <mergeCell ref="A19:B19"/>
    <mergeCell ref="A20:B20"/>
    <mergeCell ref="J1:N1"/>
    <mergeCell ref="A1:I1"/>
    <mergeCell ref="A2:N2"/>
    <mergeCell ref="A46:B46"/>
    <mergeCell ref="C46:D46"/>
    <mergeCell ref="E46:F47"/>
    <mergeCell ref="A47:B47"/>
    <mergeCell ref="C47:D47"/>
    <mergeCell ref="A39:B39"/>
    <mergeCell ref="A42:C42"/>
    <mergeCell ref="D42:H42"/>
    <mergeCell ref="I42:I44"/>
    <mergeCell ref="J42:L44"/>
    <mergeCell ref="A43:C43"/>
    <mergeCell ref="A38:B38"/>
    <mergeCell ref="G28:H28"/>
    <mergeCell ref="I28:J28"/>
    <mergeCell ref="K28:L28"/>
    <mergeCell ref="M28:N28"/>
    <mergeCell ref="G29:H29"/>
    <mergeCell ref="I29:J29"/>
    <mergeCell ref="K29:L29"/>
    <mergeCell ref="M29:N29"/>
    <mergeCell ref="A31:C31"/>
    <mergeCell ref="A32:C32"/>
    <mergeCell ref="A34:C35"/>
    <mergeCell ref="D34:H34"/>
    <mergeCell ref="A36:C36"/>
    <mergeCell ref="G26:H26"/>
    <mergeCell ref="I26:J26"/>
    <mergeCell ref="K26:L26"/>
    <mergeCell ref="M26:N26"/>
    <mergeCell ref="G27:H27"/>
    <mergeCell ref="I27:J27"/>
    <mergeCell ref="K27:L27"/>
    <mergeCell ref="M27:N27"/>
    <mergeCell ref="G24:H24"/>
    <mergeCell ref="I24:J24"/>
    <mergeCell ref="K24:L24"/>
    <mergeCell ref="G25:H25"/>
    <mergeCell ref="I25:J25"/>
    <mergeCell ref="K25:L25"/>
    <mergeCell ref="G22:H22"/>
    <mergeCell ref="I22:J22"/>
    <mergeCell ref="K22:L22"/>
    <mergeCell ref="G23:H23"/>
    <mergeCell ref="I23:J23"/>
    <mergeCell ref="K23:L23"/>
    <mergeCell ref="G21:L21"/>
    <mergeCell ref="A12:C12"/>
    <mergeCell ref="D12:G12"/>
    <mergeCell ref="L12:N12"/>
    <mergeCell ref="A13:C13"/>
    <mergeCell ref="D13:G13"/>
    <mergeCell ref="L15:N15"/>
    <mergeCell ref="A14:C14"/>
    <mergeCell ref="D14:G14"/>
    <mergeCell ref="L14:N14"/>
    <mergeCell ref="A15:C15"/>
    <mergeCell ref="D15:G15"/>
    <mergeCell ref="C16:G16"/>
    <mergeCell ref="C17:G17"/>
    <mergeCell ref="C18:G18"/>
    <mergeCell ref="C19:G19"/>
    <mergeCell ref="A8:D8"/>
    <mergeCell ref="E8:N8"/>
    <mergeCell ref="A9:D9"/>
    <mergeCell ref="E9:N9"/>
    <mergeCell ref="A10:D10"/>
    <mergeCell ref="E10:N10"/>
    <mergeCell ref="A6:D6"/>
    <mergeCell ref="E6:G6"/>
    <mergeCell ref="H6:K6"/>
    <mergeCell ref="L6:N6"/>
    <mergeCell ref="A7:D7"/>
    <mergeCell ref="E7:N7"/>
    <mergeCell ref="A3:H3"/>
    <mergeCell ref="A4:N4"/>
    <mergeCell ref="A5:D5"/>
    <mergeCell ref="E5:G5"/>
    <mergeCell ref="H5:K5"/>
    <mergeCell ref="L5:N5"/>
    <mergeCell ref="I3:J3"/>
    <mergeCell ref="L3:N3"/>
  </mergeCells>
  <printOptions horizontalCentered="1"/>
  <pageMargins left="0.25" right="0.25" top="0.75" bottom="0.75" header="0.3" footer="0.3"/>
  <pageSetup scale="85" orientation="portrait" r:id="rId1"/>
  <headerFooter>
    <oddFooter>&amp;L&amp;9&amp;A&amp;C&amp;9&amp;P of &amp;N&amp;R&amp;9&amp;F</oddFooter>
  </headerFooter>
  <ignoredErrors>
    <ignoredError sqref="M28" formula="1"/>
    <ignoredError sqref="L31:L35"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59FF5-0AFF-455F-A67F-0E2FAA225C33}">
  <dimension ref="A1:T58"/>
  <sheetViews>
    <sheetView showGridLines="0" zoomScale="80" zoomScaleNormal="80" zoomScaleSheetLayoutView="85" workbookViewId="0">
      <selection activeCell="D7" sqref="D7"/>
    </sheetView>
  </sheetViews>
  <sheetFormatPr defaultColWidth="8.7109375" defaultRowHeight="15.75" x14ac:dyDescent="0.25"/>
  <cols>
    <col min="1" max="1" width="19.42578125" style="344" customWidth="1"/>
    <col min="2" max="2" width="18.85546875" style="344" customWidth="1"/>
    <col min="3" max="3" width="14.5703125" style="344" customWidth="1"/>
    <col min="4" max="4" width="14.7109375" style="344" customWidth="1"/>
    <col min="5" max="5" width="14.42578125" style="344" customWidth="1"/>
    <col min="6" max="6" width="15" style="344" customWidth="1"/>
    <col min="7" max="7" width="14.7109375" style="344" customWidth="1"/>
    <col min="8" max="8" width="16.85546875" style="344" bestFit="1" customWidth="1"/>
    <col min="9" max="9" width="21.5703125" style="344" customWidth="1"/>
    <col min="10" max="11" width="21.7109375" style="344" customWidth="1"/>
    <col min="12" max="12" width="17.28515625" style="344" bestFit="1" customWidth="1"/>
    <col min="13" max="13" width="11.42578125" style="344" customWidth="1"/>
    <col min="14" max="14" width="11.42578125" style="344" bestFit="1" customWidth="1"/>
    <col min="15" max="15" width="8.7109375" style="344"/>
    <col min="16" max="16" width="21.7109375" style="344" hidden="1" customWidth="1"/>
    <col min="17" max="17" width="14.5703125" style="344" hidden="1" customWidth="1"/>
    <col min="18" max="18" width="17.42578125" style="344" hidden="1" customWidth="1"/>
    <col min="19" max="19" width="18.85546875" style="344" hidden="1" customWidth="1"/>
    <col min="20" max="20" width="6.28515625" style="344" hidden="1" customWidth="1"/>
    <col min="21" max="16384" width="8.7109375" style="344"/>
  </cols>
  <sheetData>
    <row r="1" spans="1:20" s="259" customFormat="1" ht="16.5" thickBot="1" x14ac:dyDescent="0.3">
      <c r="A1" s="1322" t="s">
        <v>378</v>
      </c>
      <c r="B1" s="1323"/>
      <c r="C1" s="1323"/>
      <c r="D1" s="1323"/>
      <c r="E1" s="1324" t="s">
        <v>365</v>
      </c>
      <c r="F1" s="1324"/>
      <c r="G1" s="1325"/>
      <c r="H1" s="537"/>
      <c r="I1" s="537"/>
    </row>
    <row r="2" spans="1:20" s="259" customFormat="1" ht="15.6" customHeight="1" x14ac:dyDescent="0.25">
      <c r="A2" s="538" t="str">
        <f>Directions!A2</f>
        <v>DT2221     08/2022</v>
      </c>
      <c r="B2" s="772"/>
      <c r="C2" s="773"/>
      <c r="D2" s="245"/>
      <c r="E2" s="245"/>
      <c r="F2" s="245"/>
      <c r="G2" s="245"/>
      <c r="H2" s="245"/>
      <c r="I2" s="245"/>
    </row>
    <row r="3" spans="1:20" s="259" customFormat="1" ht="16.149999999999999" customHeight="1" thickBot="1" x14ac:dyDescent="0.3">
      <c r="A3" s="330"/>
      <c r="B3" s="774"/>
      <c r="C3" s="774"/>
      <c r="D3" s="330"/>
      <c r="E3" s="330"/>
      <c r="F3" s="330"/>
      <c r="G3" s="330"/>
      <c r="I3" s="536"/>
    </row>
    <row r="4" spans="1:20" s="259" customFormat="1" ht="16.5" thickBot="1" x14ac:dyDescent="0.3">
      <c r="A4" s="1128" t="s">
        <v>78</v>
      </c>
      <c r="B4" s="1169"/>
      <c r="C4" s="1169"/>
      <c r="D4" s="1169"/>
      <c r="E4" s="1169"/>
      <c r="F4" s="1169"/>
      <c r="G4" s="1169"/>
      <c r="H4" s="1169"/>
      <c r="I4" s="1169"/>
      <c r="J4" s="1169"/>
      <c r="K4" s="1169"/>
      <c r="L4" s="1170"/>
    </row>
    <row r="5" spans="1:20" s="259" customFormat="1" x14ac:dyDescent="0.25">
      <c r="A5" s="1136" t="s">
        <v>79</v>
      </c>
      <c r="B5" s="1099" t="s">
        <v>219</v>
      </c>
      <c r="C5" s="1091"/>
      <c r="D5" s="1318" t="s">
        <v>396</v>
      </c>
      <c r="E5" s="1131" t="s">
        <v>342</v>
      </c>
      <c r="F5" s="1099" t="s">
        <v>26</v>
      </c>
      <c r="G5" s="1131" t="s">
        <v>343</v>
      </c>
      <c r="H5" s="1138" t="s">
        <v>210</v>
      </c>
      <c r="I5" s="1099" t="s">
        <v>79</v>
      </c>
      <c r="J5" s="1116" t="s">
        <v>342</v>
      </c>
      <c r="K5" s="1091" t="s">
        <v>395</v>
      </c>
      <c r="L5" s="1116" t="s">
        <v>343</v>
      </c>
      <c r="P5" s="259" t="s">
        <v>2</v>
      </c>
    </row>
    <row r="6" spans="1:20" s="259" customFormat="1" ht="16.5" thickBot="1" x14ac:dyDescent="0.3">
      <c r="A6" s="1137"/>
      <c r="B6" s="1134"/>
      <c r="C6" s="1135"/>
      <c r="D6" s="1056"/>
      <c r="E6" s="1132"/>
      <c r="F6" s="1319"/>
      <c r="G6" s="1189"/>
      <c r="H6" s="1139"/>
      <c r="I6" s="1134"/>
      <c r="J6" s="1186"/>
      <c r="K6" s="1135"/>
      <c r="L6" s="1186"/>
    </row>
    <row r="7" spans="1:20" s="259" customFormat="1" ht="16.5" thickBot="1" x14ac:dyDescent="0.3">
      <c r="A7" s="345" t="str">
        <f>'2 Aggregate System'!A13</f>
        <v>Coarse A</v>
      </c>
      <c r="B7" s="1140" t="str">
        <f>IF('2 Aggregate System'!B13=0,"",'2 Aggregate System'!B13)</f>
        <v/>
      </c>
      <c r="C7" s="1141"/>
      <c r="D7" s="558"/>
      <c r="E7" s="579" t="str">
        <f>'7 Calculation Check'!R21</f>
        <v>-</v>
      </c>
      <c r="F7" s="582" t="str">
        <f>'7 Calculation Check'!P21</f>
        <v>-</v>
      </c>
      <c r="G7" s="649" t="str">
        <f>'7 Calculation Check'!T21</f>
        <v>-</v>
      </c>
      <c r="H7" s="348" t="str">
        <f>IFERROR('6 Agg Analysis'!AP41,"")</f>
        <v/>
      </c>
      <c r="I7" s="345" t="str">
        <f>'3 Paste Quality'!A13</f>
        <v>Cement</v>
      </c>
      <c r="J7" s="357">
        <f>'7 Calculation Check'!R26</f>
        <v>0</v>
      </c>
      <c r="K7" s="329">
        <f>'7 Calculation Check'!E11</f>
        <v>0</v>
      </c>
      <c r="L7" s="355" t="str">
        <f>'7 Calculation Check'!M26</f>
        <v>-</v>
      </c>
      <c r="N7" s="568" t="str">
        <f>Directions!N8</f>
        <v>Version 2.1</v>
      </c>
    </row>
    <row r="8" spans="1:20" s="259" customFormat="1" ht="15.6" customHeight="1" thickBot="1" x14ac:dyDescent="0.3">
      <c r="A8" s="315" t="str">
        <f>'2 Aggregate System'!A14</f>
        <v>Coarse B</v>
      </c>
      <c r="B8" s="1140" t="str">
        <f>IF('2 Aggregate System'!B14=0,"",'2 Aggregate System'!B14)</f>
        <v/>
      </c>
      <c r="C8" s="1141"/>
      <c r="D8" s="576"/>
      <c r="E8" s="578" t="str">
        <f>'7 Calculation Check'!R22</f>
        <v>-</v>
      </c>
      <c r="F8" s="583" t="str">
        <f>'7 Calculation Check'!P22</f>
        <v>-</v>
      </c>
      <c r="G8" s="650" t="str">
        <f>'7 Calculation Check'!T22</f>
        <v>-</v>
      </c>
      <c r="H8" s="350" t="str">
        <f>IFERROR('6 Agg Analysis'!AP42,"")</f>
        <v/>
      </c>
      <c r="I8" s="315" t="str">
        <f>'3 Paste Quality'!A14</f>
        <v>Fly Ash</v>
      </c>
      <c r="J8" s="357" t="str">
        <f>'7 Calculation Check'!R27</f>
        <v>-</v>
      </c>
      <c r="K8" s="329" t="str">
        <f>'7 Calculation Check'!E12</f>
        <v>-</v>
      </c>
      <c r="L8" s="355" t="str">
        <f>'7 Calculation Check'!M27</f>
        <v>-</v>
      </c>
      <c r="Q8" s="1021" t="s">
        <v>452</v>
      </c>
      <c r="R8" s="1314"/>
      <c r="S8" s="1314"/>
      <c r="T8" s="1022"/>
    </row>
    <row r="9" spans="1:20" s="259" customFormat="1" x14ac:dyDescent="0.25">
      <c r="A9" s="315" t="str">
        <f>'2 Aggregate System'!A15</f>
        <v>Coarse C</v>
      </c>
      <c r="B9" s="1140" t="str">
        <f>IF('2 Aggregate System'!B15=0,"",'2 Aggregate System'!B15)</f>
        <v/>
      </c>
      <c r="C9" s="1141"/>
      <c r="D9" s="576"/>
      <c r="E9" s="578" t="str">
        <f>'7 Calculation Check'!R23</f>
        <v>-</v>
      </c>
      <c r="F9" s="583" t="str">
        <f>'7 Calculation Check'!P23</f>
        <v>-</v>
      </c>
      <c r="G9" s="650" t="str">
        <f>'7 Calculation Check'!T23</f>
        <v>-</v>
      </c>
      <c r="H9" s="350" t="str">
        <f>IFERROR('6 Agg Analysis'!AP43,"")</f>
        <v/>
      </c>
      <c r="I9" s="315" t="s">
        <v>72</v>
      </c>
      <c r="J9" s="357" t="str">
        <f>'7 Calculation Check'!R28</f>
        <v>-</v>
      </c>
      <c r="K9" s="329" t="str">
        <f>'7 Calculation Check'!E13</f>
        <v>-</v>
      </c>
      <c r="L9" s="355" t="str">
        <f>'7 Calculation Check'!M28</f>
        <v>-</v>
      </c>
      <c r="P9" s="627" t="s">
        <v>387</v>
      </c>
      <c r="Q9" s="1312" t="s">
        <v>315</v>
      </c>
      <c r="R9" s="1313"/>
      <c r="S9" s="1313"/>
      <c r="T9" s="1310" t="s">
        <v>278</v>
      </c>
    </row>
    <row r="10" spans="1:20" s="259" customFormat="1" x14ac:dyDescent="0.25">
      <c r="A10" s="315" t="str">
        <f>'2 Aggregate System'!A16</f>
        <v>Fine A</v>
      </c>
      <c r="B10" s="1140" t="str">
        <f>IF('2 Aggregate System'!B16=0,"",'2 Aggregate System'!B16)</f>
        <v/>
      </c>
      <c r="C10" s="1141"/>
      <c r="D10" s="576"/>
      <c r="E10" s="578" t="str">
        <f>'7 Calculation Check'!R24</f>
        <v>-</v>
      </c>
      <c r="F10" s="583" t="str">
        <f>'7 Calculation Check'!P24</f>
        <v>-</v>
      </c>
      <c r="G10" s="650" t="str">
        <f>'7 Calculation Check'!T24</f>
        <v>-</v>
      </c>
      <c r="H10" s="350" t="str">
        <f>IFERROR('6 Agg Analysis'!AP44,"")</f>
        <v/>
      </c>
      <c r="I10" s="315" t="s">
        <v>206</v>
      </c>
      <c r="J10" s="357" t="str">
        <f>'7 Calculation Check'!R29</f>
        <v>-</v>
      </c>
      <c r="K10" s="329" t="str">
        <f>'7 Calculation Check'!E14</f>
        <v>-</v>
      </c>
      <c r="L10" s="355" t="str">
        <f>'7 Calculation Check'!M29</f>
        <v>-</v>
      </c>
      <c r="P10" s="627">
        <f>'6 Agg Analysis'!AR37</f>
        <v>10993.5</v>
      </c>
      <c r="Q10" s="85" t="s">
        <v>453</v>
      </c>
      <c r="R10" s="580" t="s">
        <v>454</v>
      </c>
      <c r="S10" s="766" t="s">
        <v>204</v>
      </c>
      <c r="T10" s="1311"/>
    </row>
    <row r="11" spans="1:20" ht="16.5" thickBot="1" x14ac:dyDescent="0.3">
      <c r="A11" s="316" t="str">
        <f>'2 Aggregate System'!A17</f>
        <v>Fine B</v>
      </c>
      <c r="B11" s="1320" t="str">
        <f>IF('2 Aggregate System'!B17=0,"",'2 Aggregate System'!B17)</f>
        <v/>
      </c>
      <c r="C11" s="1321"/>
      <c r="D11" s="566"/>
      <c r="E11" s="611" t="str">
        <f>'7 Calculation Check'!R25</f>
        <v>-</v>
      </c>
      <c r="F11" s="192" t="str">
        <f>'7 Calculation Check'!P25</f>
        <v>-</v>
      </c>
      <c r="G11" s="651" t="str">
        <f>'7 Calculation Check'!T25</f>
        <v>-</v>
      </c>
      <c r="H11" s="352" t="str">
        <f>IFERROR('6 Agg Analysis'!AP45,"")</f>
        <v/>
      </c>
      <c r="I11" s="315" t="s">
        <v>208</v>
      </c>
      <c r="J11" s="357" t="str">
        <f>'7 Calculation Check'!R30</f>
        <v>-</v>
      </c>
      <c r="K11" s="329" t="str">
        <f>'7 Calculation Check'!E15</f>
        <v>-</v>
      </c>
      <c r="L11" s="355" t="str">
        <f>'7 Calculation Check'!M30</f>
        <v>-</v>
      </c>
      <c r="N11" s="659"/>
      <c r="P11" s="627" t="s">
        <v>392</v>
      </c>
      <c r="Q11" s="86" t="b">
        <v>0</v>
      </c>
      <c r="R11" s="87" t="b">
        <v>0</v>
      </c>
      <c r="S11" s="767">
        <f>'1 Certification'!H39</f>
        <v>0</v>
      </c>
      <c r="T11" s="88" t="str">
        <f>IF(AND(Q11=TRUE,'1 Certification'!G39&gt;0),"Remove Add. Cement",IF(AND(AND(Q11=FALSE,R11=FALSE),OR('1 Certification'!G39&gt;0,'1 Certification'!D39&gt;0,'1 Certification'!B39&gt;0)),"HES Modification?",IF(AND(Q11=FALSE,R11=FALSE),"-",IF(AND(Q11=TRUE,R11=TRUE),"Select One Option",IF(AND('1 Certification'!G39=0,R11=TRUE),"Enter Add. Cement",IF(AND(OR(Q11=TRUE,R11=TRUE),S11=0),"Placement Method?",IF(AND(R11=TRUE,'1 Certification'!G39&gt;=95,'1 Certification'!G39&lt;=280),"PASS",IF(Q11=TRUE,"PASS","FAIL"))))))))</f>
        <v>-</v>
      </c>
    </row>
    <row r="12" spans="1:20" ht="16.5" thickBot="1" x14ac:dyDescent="0.3">
      <c r="A12" s="1180" t="s">
        <v>402</v>
      </c>
      <c r="B12" s="1181"/>
      <c r="C12" s="1182"/>
      <c r="D12" s="539"/>
      <c r="E12" s="245"/>
      <c r="F12" s="245"/>
      <c r="G12" s="228"/>
      <c r="H12" s="349"/>
      <c r="I12" s="315" t="s">
        <v>75</v>
      </c>
      <c r="J12" s="357" t="e">
        <f>D14*D15</f>
        <v>#VALUE!</v>
      </c>
      <c r="K12" s="329">
        <f>'3 Paste Quality'!$G$46</f>
        <v>1</v>
      </c>
      <c r="L12" s="355" t="str">
        <f>IFERROR('7 Calculation Check'!M31,"")</f>
        <v>CM ERROR</v>
      </c>
      <c r="P12" s="660">
        <f>'6 Agg Analysis'!AN37</f>
        <v>200</v>
      </c>
    </row>
    <row r="13" spans="1:20" ht="16.5" thickBot="1" x14ac:dyDescent="0.3">
      <c r="A13" s="1180" t="s">
        <v>442</v>
      </c>
      <c r="B13" s="1181"/>
      <c r="C13" s="1182"/>
      <c r="D13" s="642">
        <f>D7+D8+D9+D10+D11</f>
        <v>0</v>
      </c>
      <c r="E13" s="563"/>
      <c r="F13" s="228"/>
      <c r="G13" s="349"/>
      <c r="H13" s="349"/>
      <c r="I13" s="316" t="s">
        <v>284</v>
      </c>
      <c r="J13" s="570" t="str">
        <f>IF(ISNUMBER('3 Paste Quality'!B33),'3 Paste Quality'!B33,"")</f>
        <v/>
      </c>
      <c r="K13" s="562"/>
      <c r="L13" s="361" t="str">
        <f>'7 Calculation Check'!M32</f>
        <v>AIR ?</v>
      </c>
      <c r="P13" s="627" t="s">
        <v>438</v>
      </c>
    </row>
    <row r="14" spans="1:20" ht="16.5" thickBot="1" x14ac:dyDescent="0.3">
      <c r="A14" s="1315" t="s">
        <v>70</v>
      </c>
      <c r="B14" s="1316"/>
      <c r="C14" s="1317"/>
      <c r="D14" s="565" t="str">
        <f>'7 Calculation Check'!F25</f>
        <v>W/CM ERROR</v>
      </c>
      <c r="I14" s="564" t="s">
        <v>80</v>
      </c>
      <c r="J14" s="363">
        <f>SUM(D7:D19)</f>
        <v>0</v>
      </c>
      <c r="K14" s="364"/>
      <c r="L14" s="365" t="str">
        <f>IF(AND(D7="",D8="",D9="",D10="",D11=""),"ENTER % WTS.",IF(OR('3 Paste Quality'!B31&lt;500,'3 Paste Quality'!B42&gt;30,'3 Paste Quality'!B31=0),"CM ERROR",SUM(G7:G11,L7:L13)))</f>
        <v>ENTER % WTS.</v>
      </c>
      <c r="P14" s="627">
        <f>'7 Calculation Check'!P51</f>
        <v>27.2</v>
      </c>
    </row>
    <row r="15" spans="1:20" ht="16.5" thickBot="1" x14ac:dyDescent="0.3">
      <c r="A15" s="1315" t="s">
        <v>254</v>
      </c>
      <c r="B15" s="1316"/>
      <c r="C15" s="1317"/>
      <c r="D15" s="567">
        <f>'7 Calculation Check'!J39</f>
        <v>0</v>
      </c>
      <c r="N15" s="793"/>
      <c r="P15" s="627" t="s">
        <v>441</v>
      </c>
    </row>
    <row r="16" spans="1:20" ht="16.5" thickBot="1" x14ac:dyDescent="0.3">
      <c r="A16" s="1315" t="s">
        <v>401</v>
      </c>
      <c r="B16" s="1316"/>
      <c r="C16" s="1317"/>
      <c r="D16" s="404">
        <f>'3 Paste Quality'!B33</f>
        <v>0</v>
      </c>
      <c r="N16" s="793"/>
      <c r="P16" s="627">
        <v>24</v>
      </c>
    </row>
    <row r="17" spans="5:16" x14ac:dyDescent="0.25">
      <c r="N17" s="793"/>
      <c r="P17" s="627" t="s">
        <v>440</v>
      </c>
    </row>
    <row r="18" spans="5:16" x14ac:dyDescent="0.25">
      <c r="N18" s="793"/>
      <c r="P18" s="627">
        <f>'7 Calculation Check'!Q58</f>
        <v>34</v>
      </c>
    </row>
    <row r="19" spans="5:16" x14ac:dyDescent="0.25">
      <c r="N19" s="793"/>
      <c r="P19" s="627" t="s">
        <v>439</v>
      </c>
    </row>
    <row r="20" spans="5:16" x14ac:dyDescent="0.25">
      <c r="I20" s="259"/>
      <c r="N20" s="794"/>
      <c r="P20" s="627">
        <v>2.2999999999999998</v>
      </c>
    </row>
    <row r="22" spans="5:16" x14ac:dyDescent="0.25">
      <c r="N22" s="259"/>
      <c r="O22" s="259"/>
    </row>
    <row r="23" spans="5:16" x14ac:dyDescent="0.25">
      <c r="N23" s="259"/>
      <c r="O23" s="259"/>
    </row>
    <row r="24" spans="5:16" x14ac:dyDescent="0.25">
      <c r="N24" s="360"/>
      <c r="O24" s="359"/>
    </row>
    <row r="25" spans="5:16" x14ac:dyDescent="0.25">
      <c r="N25" s="360"/>
      <c r="O25" s="359"/>
    </row>
    <row r="26" spans="5:16" ht="16.149999999999999" customHeight="1" x14ac:dyDescent="0.25">
      <c r="N26" s="259"/>
      <c r="O26" s="259"/>
    </row>
    <row r="27" spans="5:16" x14ac:dyDescent="0.25">
      <c r="N27" s="259"/>
      <c r="O27" s="259"/>
    </row>
    <row r="30" spans="5:16" x14ac:dyDescent="0.25">
      <c r="E30" s="259"/>
      <c r="F30" s="259"/>
      <c r="G30" s="259"/>
      <c r="H30" s="259"/>
      <c r="I30" s="259"/>
    </row>
    <row r="31" spans="5:16" x14ac:dyDescent="0.25">
      <c r="H31" s="341"/>
      <c r="I31" s="259"/>
    </row>
    <row r="32" spans="5:16" x14ac:dyDescent="0.25">
      <c r="H32" s="341"/>
      <c r="I32" s="259"/>
    </row>
    <row r="33" spans="1:10" x14ac:dyDescent="0.25">
      <c r="H33" s="341"/>
      <c r="I33" s="259"/>
    </row>
    <row r="35" spans="1:10" ht="16.5" thickBot="1" x14ac:dyDescent="0.3"/>
    <row r="36" spans="1:10" ht="16.5" thickBot="1" x14ac:dyDescent="0.3">
      <c r="A36" s="1041" t="s">
        <v>211</v>
      </c>
      <c r="B36" s="1064"/>
      <c r="C36" s="1064"/>
      <c r="D36" s="1064"/>
      <c r="E36" s="1064"/>
      <c r="F36" s="1064"/>
      <c r="G36" s="1064"/>
      <c r="H36" s="1064"/>
      <c r="I36" s="1042"/>
    </row>
    <row r="37" spans="1:10" ht="16.5" thickBot="1" x14ac:dyDescent="0.3">
      <c r="A37" s="1326" t="s">
        <v>204</v>
      </c>
      <c r="B37" s="1327"/>
      <c r="C37" s="395" t="s">
        <v>24</v>
      </c>
      <c r="D37" s="1164" t="s">
        <v>46</v>
      </c>
      <c r="E37" s="1164"/>
      <c r="F37" s="1163" t="s">
        <v>388</v>
      </c>
      <c r="G37" s="1154"/>
      <c r="H37" s="396" t="s">
        <v>48</v>
      </c>
      <c r="I37" s="549" t="s">
        <v>49</v>
      </c>
    </row>
    <row r="38" spans="1:10" x14ac:dyDescent="0.25">
      <c r="A38" s="1155" t="s">
        <v>205</v>
      </c>
      <c r="B38" s="1156"/>
      <c r="C38" s="1153" t="s">
        <v>29</v>
      </c>
      <c r="D38" s="1167" t="s">
        <v>50</v>
      </c>
      <c r="E38" s="1153"/>
      <c r="F38" s="1328">
        <f>'7 Calculation Check'!P58</f>
        <v>24</v>
      </c>
      <c r="G38" s="1191">
        <f>'7 Calculation Check'!Q58</f>
        <v>34</v>
      </c>
      <c r="H38" s="1187">
        <f>SUM('6 Agg Analysis'!AT17:AT20)</f>
        <v>0</v>
      </c>
      <c r="I38" s="1116" t="str">
        <f>IF(H38&lt;F38,"Fail",IF(H38&gt;G38,"Fail","Pass"))</f>
        <v>Fail</v>
      </c>
    </row>
    <row r="39" spans="1:10" ht="16.5" thickBot="1" x14ac:dyDescent="0.3">
      <c r="A39" s="1157"/>
      <c r="B39" s="1158"/>
      <c r="C39" s="1154"/>
      <c r="D39" s="1163"/>
      <c r="E39" s="1154"/>
      <c r="F39" s="1329"/>
      <c r="G39" s="1193"/>
      <c r="H39" s="1188"/>
      <c r="I39" s="1186"/>
    </row>
    <row r="40" spans="1:10" ht="16.5" thickBot="1" x14ac:dyDescent="0.3">
      <c r="A40" s="1159"/>
      <c r="B40" s="1160"/>
      <c r="C40" s="396" t="s">
        <v>28</v>
      </c>
      <c r="D40" s="1163" t="s">
        <v>51</v>
      </c>
      <c r="E40" s="1154"/>
      <c r="F40" s="1163" t="s">
        <v>52</v>
      </c>
      <c r="G40" s="1154"/>
      <c r="H40" s="401">
        <f>SUM('6 Agg Analysis'!AT15:AT17)</f>
        <v>0</v>
      </c>
      <c r="I40" s="400" t="str">
        <f>IF(H40&gt;15,"Pass","Fail")</f>
        <v>Fail</v>
      </c>
    </row>
    <row r="41" spans="1:10" ht="16.5" thickBot="1" x14ac:dyDescent="0.3">
      <c r="F41" s="1190" t="s">
        <v>272</v>
      </c>
      <c r="G41" s="1191"/>
      <c r="H41" s="403" t="s">
        <v>212</v>
      </c>
      <c r="I41" s="1173" t="str">
        <f>IF(H42&lt;=2.3,"Pass","Fail")</f>
        <v>Pass</v>
      </c>
    </row>
    <row r="42" spans="1:10" ht="16.5" thickBot="1" x14ac:dyDescent="0.3">
      <c r="A42" s="1081" t="s">
        <v>53</v>
      </c>
      <c r="B42" s="1082"/>
      <c r="C42" s="1082"/>
      <c r="D42" s="1183"/>
      <c r="F42" s="1192"/>
      <c r="G42" s="1193"/>
      <c r="H42" s="404">
        <f>'6 Agg Analysis'!AS20</f>
        <v>0</v>
      </c>
      <c r="I42" s="1174"/>
    </row>
    <row r="43" spans="1:10" ht="16.5" thickBot="1" x14ac:dyDescent="0.3">
      <c r="A43" s="1099" t="s">
        <v>54</v>
      </c>
      <c r="B43" s="1131" t="s">
        <v>55</v>
      </c>
      <c r="C43" s="1131" t="s">
        <v>160</v>
      </c>
      <c r="D43" s="1138" t="s">
        <v>49</v>
      </c>
    </row>
    <row r="44" spans="1:10" ht="16.5" thickBot="1" x14ac:dyDescent="0.3">
      <c r="A44" s="1134"/>
      <c r="B44" s="1189"/>
      <c r="C44" s="1189"/>
      <c r="D44" s="1139"/>
      <c r="F44" s="1330" t="s">
        <v>429</v>
      </c>
      <c r="G44" s="1331"/>
      <c r="H44" s="1331"/>
      <c r="I44" s="1331"/>
      <c r="J44" s="1332"/>
    </row>
    <row r="45" spans="1:10" ht="18" x14ac:dyDescent="0.25">
      <c r="A45" s="388" t="s">
        <v>33</v>
      </c>
      <c r="B45" s="389">
        <v>0</v>
      </c>
      <c r="C45" s="643" t="str">
        <f>'7 Calculation Check'!R5</f>
        <v>CM ERROR</v>
      </c>
      <c r="D45" s="646" t="str">
        <f>'7 Calculation Check'!S5</f>
        <v>-</v>
      </c>
      <c r="F45" s="632" t="s">
        <v>419</v>
      </c>
      <c r="G45" s="350">
        <f>'7 Calculation Check'!Q38</f>
        <v>0</v>
      </c>
      <c r="H45" s="628" t="s">
        <v>420</v>
      </c>
      <c r="I45" s="629" t="s">
        <v>269</v>
      </c>
      <c r="J45" s="628" t="str">
        <f>'7 Calculation Check'!Q49</f>
        <v>VOID CONT.?</v>
      </c>
    </row>
    <row r="46" spans="1:10" ht="18.75" thickBot="1" x14ac:dyDescent="0.3">
      <c r="A46" s="391" t="s">
        <v>34</v>
      </c>
      <c r="B46" s="392" t="s">
        <v>57</v>
      </c>
      <c r="C46" s="644" t="str">
        <f>'7 Calculation Check'!R6</f>
        <v>CM ERROR</v>
      </c>
      <c r="D46" s="647" t="str">
        <f>'7 Calculation Check'!S6</f>
        <v>-</v>
      </c>
      <c r="F46" s="632" t="s">
        <v>421</v>
      </c>
      <c r="G46" s="350">
        <f>'7 Calculation Check'!Q36</f>
        <v>0</v>
      </c>
      <c r="H46" s="628" t="s">
        <v>420</v>
      </c>
      <c r="I46" s="630" t="s">
        <v>428</v>
      </c>
      <c r="J46" s="631" t="str">
        <f>'7 Calculation Check'!R50</f>
        <v>CM ERROR</v>
      </c>
    </row>
    <row r="47" spans="1:10" ht="18" x14ac:dyDescent="0.25">
      <c r="A47" s="391" t="s">
        <v>35</v>
      </c>
      <c r="B47" s="392" t="s">
        <v>58</v>
      </c>
      <c r="C47" s="644" t="str">
        <f>'7 Calculation Check'!R7</f>
        <v>CM ERROR</v>
      </c>
      <c r="D47" s="647" t="str">
        <f>'7 Calculation Check'!S7</f>
        <v>-</v>
      </c>
      <c r="F47" s="632" t="s">
        <v>422</v>
      </c>
      <c r="G47" s="350">
        <f>'7 Calculation Check'!Q37</f>
        <v>0</v>
      </c>
      <c r="H47" s="628" t="s">
        <v>420</v>
      </c>
    </row>
    <row r="48" spans="1:10" ht="18.75" thickBot="1" x14ac:dyDescent="0.3">
      <c r="A48" s="391" t="s">
        <v>36</v>
      </c>
      <c r="B48" s="392" t="s">
        <v>59</v>
      </c>
      <c r="C48" s="644" t="str">
        <f>'7 Calculation Check'!R8</f>
        <v>CM ERROR</v>
      </c>
      <c r="D48" s="647" t="str">
        <f>'7 Calculation Check'!S8</f>
        <v>-</v>
      </c>
      <c r="F48" s="633" t="s">
        <v>423</v>
      </c>
      <c r="G48" s="352">
        <f>'7 Calculation Check'!Q39</f>
        <v>0</v>
      </c>
      <c r="H48" s="577" t="s">
        <v>420</v>
      </c>
    </row>
    <row r="49" spans="1:8" x14ac:dyDescent="0.25">
      <c r="A49" s="391" t="s">
        <v>37</v>
      </c>
      <c r="B49" s="392" t="s">
        <v>60</v>
      </c>
      <c r="C49" s="644" t="str">
        <f>'7 Calculation Check'!R9</f>
        <v>CM ERROR</v>
      </c>
      <c r="D49" s="647" t="str">
        <f>'7 Calculation Check'!S9</f>
        <v>-</v>
      </c>
      <c r="F49" s="632" t="s">
        <v>424</v>
      </c>
      <c r="G49" s="350" t="str">
        <f>'7 Calculation Check'!Q44</f>
        <v>CM ERROR</v>
      </c>
      <c r="H49" s="628" t="s">
        <v>32</v>
      </c>
    </row>
    <row r="50" spans="1:8" x14ac:dyDescent="0.25">
      <c r="A50" s="391" t="s">
        <v>38</v>
      </c>
      <c r="B50" s="392" t="s">
        <v>60</v>
      </c>
      <c r="C50" s="644" t="str">
        <f>'7 Calculation Check'!R10</f>
        <v>CM ERROR</v>
      </c>
      <c r="D50" s="647" t="str">
        <f>'7 Calculation Check'!S10</f>
        <v>-</v>
      </c>
      <c r="F50" s="632" t="s">
        <v>425</v>
      </c>
      <c r="G50" s="350" t="str">
        <f>'7 Calculation Check'!Q45</f>
        <v>CM ERROR</v>
      </c>
      <c r="H50" s="628" t="s">
        <v>32</v>
      </c>
    </row>
    <row r="51" spans="1:8" x14ac:dyDescent="0.25">
      <c r="A51" s="391" t="s">
        <v>39</v>
      </c>
      <c r="B51" s="392" t="s">
        <v>60</v>
      </c>
      <c r="C51" s="644" t="str">
        <f>'7 Calculation Check'!R11</f>
        <v>CM ERROR</v>
      </c>
      <c r="D51" s="647" t="str">
        <f>'7 Calculation Check'!S11</f>
        <v>-</v>
      </c>
      <c r="F51" s="632" t="s">
        <v>393</v>
      </c>
      <c r="G51" s="350" t="str">
        <f>'7 Calculation Check'!Q46</f>
        <v>CM ERROR</v>
      </c>
      <c r="H51" s="628" t="s">
        <v>32</v>
      </c>
    </row>
    <row r="52" spans="1:8" x14ac:dyDescent="0.25">
      <c r="A52" s="391" t="s">
        <v>40</v>
      </c>
      <c r="B52" s="392" t="s">
        <v>61</v>
      </c>
      <c r="C52" s="644" t="str">
        <f>'7 Calculation Check'!R12</f>
        <v>CM ERROR</v>
      </c>
      <c r="D52" s="647" t="str">
        <f>'7 Calculation Check'!S12</f>
        <v>-</v>
      </c>
      <c r="F52" s="632" t="s">
        <v>426</v>
      </c>
      <c r="G52" s="350" t="str">
        <f>'7 Calculation Check'!Q47</f>
        <v>AIR ?</v>
      </c>
      <c r="H52" s="628" t="s">
        <v>32</v>
      </c>
    </row>
    <row r="53" spans="1:8" ht="16.5" thickBot="1" x14ac:dyDescent="0.3">
      <c r="A53" s="391" t="s">
        <v>41</v>
      </c>
      <c r="B53" s="392" t="s">
        <v>61</v>
      </c>
      <c r="C53" s="644" t="str">
        <f>'7 Calculation Check'!R13</f>
        <v>CM ERROR</v>
      </c>
      <c r="D53" s="647" t="str">
        <f>'7 Calculation Check'!S13</f>
        <v>-</v>
      </c>
      <c r="F53" s="633" t="s">
        <v>427</v>
      </c>
      <c r="G53" s="352" t="str">
        <f>'7 Calculation Check'!Q48</f>
        <v>CM ERROR</v>
      </c>
      <c r="H53" s="577" t="s">
        <v>32</v>
      </c>
    </row>
    <row r="54" spans="1:8" x14ac:dyDescent="0.25">
      <c r="A54" s="391" t="s">
        <v>42</v>
      </c>
      <c r="B54" s="392" t="s">
        <v>60</v>
      </c>
      <c r="C54" s="644" t="str">
        <f>'7 Calculation Check'!R14</f>
        <v>CM ERROR</v>
      </c>
      <c r="D54" s="647" t="str">
        <f>'7 Calculation Check'!S14</f>
        <v>-</v>
      </c>
      <c r="H54" s="627"/>
    </row>
    <row r="55" spans="1:8" x14ac:dyDescent="0.25">
      <c r="A55" s="391" t="s">
        <v>43</v>
      </c>
      <c r="B55" s="392" t="s">
        <v>60</v>
      </c>
      <c r="C55" s="644" t="str">
        <f>'7 Calculation Check'!R15</f>
        <v>CM ERROR</v>
      </c>
      <c r="D55" s="647" t="str">
        <f>'7 Calculation Check'!S15</f>
        <v>-</v>
      </c>
      <c r="H55" s="627"/>
    </row>
    <row r="56" spans="1:8" ht="16.149999999999999" customHeight="1" x14ac:dyDescent="0.25">
      <c r="A56" s="391" t="s">
        <v>44</v>
      </c>
      <c r="B56" s="392" t="s">
        <v>62</v>
      </c>
      <c r="C56" s="644" t="str">
        <f>'7 Calculation Check'!R16</f>
        <v>CM ERROR</v>
      </c>
      <c r="D56" s="647" t="str">
        <f>'7 Calculation Check'!S16</f>
        <v>-</v>
      </c>
    </row>
    <row r="57" spans="1:8" ht="16.149999999999999" customHeight="1" thickBot="1" x14ac:dyDescent="0.3">
      <c r="A57" s="397" t="s">
        <v>45</v>
      </c>
      <c r="B57" s="398" t="s">
        <v>173</v>
      </c>
      <c r="C57" s="645" t="str">
        <f>'7 Calculation Check'!R17</f>
        <v>CM ERROR</v>
      </c>
      <c r="D57" s="648" t="str">
        <f>'7 Calculation Check'!S17</f>
        <v>-</v>
      </c>
      <c r="F57" s="627"/>
      <c r="G57" s="627"/>
      <c r="H57" s="627"/>
    </row>
    <row r="58" spans="1:8" ht="16.149999999999999" customHeight="1" thickBot="1" x14ac:dyDescent="0.3">
      <c r="A58" s="1041" t="s">
        <v>232</v>
      </c>
      <c r="B58" s="1175"/>
      <c r="C58" s="402" t="e">
        <f>'6 Agg Analysis'!AY20</f>
        <v>#DIV/0!</v>
      </c>
    </row>
  </sheetData>
  <sheetProtection selectLockedCells="1"/>
  <mergeCells count="49">
    <mergeCell ref="B43:B44"/>
    <mergeCell ref="C43:C44"/>
    <mergeCell ref="D43:D44"/>
    <mergeCell ref="A36:I36"/>
    <mergeCell ref="A37:B37"/>
    <mergeCell ref="D37:E37"/>
    <mergeCell ref="F37:G37"/>
    <mergeCell ref="F38:F39"/>
    <mergeCell ref="G38:G39"/>
    <mergeCell ref="A42:D42"/>
    <mergeCell ref="F44:J44"/>
    <mergeCell ref="A58:B58"/>
    <mergeCell ref="F41:G42"/>
    <mergeCell ref="I41:I42"/>
    <mergeCell ref="A1:D1"/>
    <mergeCell ref="E1:G1"/>
    <mergeCell ref="A12:C12"/>
    <mergeCell ref="E5:E6"/>
    <mergeCell ref="A13:C13"/>
    <mergeCell ref="A38:B40"/>
    <mergeCell ref="C38:C39"/>
    <mergeCell ref="D38:E39"/>
    <mergeCell ref="H38:H39"/>
    <mergeCell ref="I38:I39"/>
    <mergeCell ref="D40:E40"/>
    <mergeCell ref="F40:G40"/>
    <mergeCell ref="A43:A44"/>
    <mergeCell ref="A16:C16"/>
    <mergeCell ref="A14:C14"/>
    <mergeCell ref="A15:C15"/>
    <mergeCell ref="K5:K6"/>
    <mergeCell ref="L5:L6"/>
    <mergeCell ref="A5:A6"/>
    <mergeCell ref="B5:C6"/>
    <mergeCell ref="D5:D6"/>
    <mergeCell ref="F5:F6"/>
    <mergeCell ref="G5:G6"/>
    <mergeCell ref="H5:H6"/>
    <mergeCell ref="J5:J6"/>
    <mergeCell ref="B11:C11"/>
    <mergeCell ref="B7:C7"/>
    <mergeCell ref="B8:C8"/>
    <mergeCell ref="B9:C9"/>
    <mergeCell ref="B10:C10"/>
    <mergeCell ref="T9:T10"/>
    <mergeCell ref="I5:I6"/>
    <mergeCell ref="A4:L4"/>
    <mergeCell ref="Q9:S9"/>
    <mergeCell ref="Q8:T8"/>
  </mergeCells>
  <conditionalFormatting sqref="D45:D57">
    <cfRule type="cellIs" dxfId="46" priority="20" operator="equal">
      <formula>"AIR ?"</formula>
    </cfRule>
    <cfRule type="cellIs" dxfId="45" priority="21" operator="equal">
      <formula>"W/CM ERROR"</formula>
    </cfRule>
    <cfRule type="cellIs" dxfId="44" priority="22" operator="equal">
      <formula>"AGG. ERROR"</formula>
    </cfRule>
    <cfRule type="cellIs" dxfId="43" priority="42" operator="equal">
      <formula>"CM ERROR"</formula>
    </cfRule>
    <cfRule type="containsText" dxfId="42" priority="59" stopIfTrue="1" operator="containsText" text="Fail">
      <formula>NOT(ISERROR(SEARCH("Fail",D45)))</formula>
    </cfRule>
    <cfRule type="containsText" dxfId="41" priority="60" operator="containsText" text="Pass">
      <formula>NOT(ISERROR(SEARCH("Pass",D45)))</formula>
    </cfRule>
  </conditionalFormatting>
  <conditionalFormatting sqref="I40">
    <cfRule type="cellIs" dxfId="40" priority="51" operator="equal">
      <formula>"ERROR"</formula>
    </cfRule>
    <cfRule type="containsText" dxfId="39" priority="57" stopIfTrue="1" operator="containsText" text="Fail">
      <formula>NOT(ISERROR(SEARCH("Fail",I40)))</formula>
    </cfRule>
    <cfRule type="containsText" dxfId="38" priority="58" operator="containsText" text="Pass">
      <formula>NOT(ISERROR(SEARCH("Pass",I40)))</formula>
    </cfRule>
  </conditionalFormatting>
  <conditionalFormatting sqref="I38">
    <cfRule type="containsText" dxfId="37" priority="55" stopIfTrue="1" operator="containsText" text="Fail">
      <formula>NOT(ISERROR(SEARCH("Fail",I38)))</formula>
    </cfRule>
    <cfRule type="containsText" dxfId="36" priority="56" operator="containsText" text="Pass">
      <formula>NOT(ISERROR(SEARCH("Pass",I38)))</formula>
    </cfRule>
  </conditionalFormatting>
  <conditionalFormatting sqref="A38:B40">
    <cfRule type="cellIs" dxfId="35" priority="53" operator="notEqual">
      <formula>0</formula>
    </cfRule>
    <cfRule type="cellIs" dxfId="34" priority="54" operator="equal">
      <formula>0</formula>
    </cfRule>
  </conditionalFormatting>
  <conditionalFormatting sqref="I38:I39">
    <cfRule type="cellIs" dxfId="33" priority="52" operator="equal">
      <formula>"ERROR"</formula>
    </cfRule>
  </conditionalFormatting>
  <conditionalFormatting sqref="H38:H39">
    <cfRule type="cellIs" dxfId="32" priority="50" operator="equal">
      <formula>"ERROR"</formula>
    </cfRule>
  </conditionalFormatting>
  <conditionalFormatting sqref="H40">
    <cfRule type="cellIs" dxfId="31" priority="49" operator="equal">
      <formula>"ERROR"</formula>
    </cfRule>
  </conditionalFormatting>
  <conditionalFormatting sqref="L14">
    <cfRule type="cellIs" dxfId="30" priority="14" operator="equal">
      <formula>"ENTER % WTS."</formula>
    </cfRule>
    <cfRule type="cellIs" dxfId="29" priority="39" operator="equal">
      <formula>"CM ERROR"</formula>
    </cfRule>
    <cfRule type="cellIs" dxfId="28" priority="46" operator="between">
      <formula>27.15</formula>
      <formula>27.25</formula>
    </cfRule>
    <cfRule type="cellIs" dxfId="27" priority="47" operator="notBetween">
      <formula>27.15</formula>
      <formula>27.25</formula>
    </cfRule>
  </conditionalFormatting>
  <conditionalFormatting sqref="J7:J11">
    <cfRule type="cellIs" priority="44" operator="notEqual">
      <formula>"ERROR"</formula>
    </cfRule>
    <cfRule type="cellIs" dxfId="26" priority="45" operator="equal">
      <formula>"CM ERROR"</formula>
    </cfRule>
  </conditionalFormatting>
  <conditionalFormatting sqref="K7:K11">
    <cfRule type="cellIs" dxfId="25" priority="31" operator="equal">
      <formula>"CM ERROR"</formula>
    </cfRule>
    <cfRule type="cellIs" dxfId="24" priority="43" operator="equal">
      <formula>"ERROR: &gt;30%"</formula>
    </cfRule>
  </conditionalFormatting>
  <conditionalFormatting sqref="C45:C57">
    <cfRule type="cellIs" dxfId="23" priority="41" operator="equal">
      <formula>"CM ERROR"</formula>
    </cfRule>
  </conditionalFormatting>
  <conditionalFormatting sqref="L7:L11">
    <cfRule type="cellIs" dxfId="22" priority="34" operator="equal">
      <formula>"ERROR: &gt;30%"</formula>
    </cfRule>
    <cfRule type="cellIs" dxfId="21" priority="40" operator="equal">
      <formula>"CM ERROR"</formula>
    </cfRule>
  </conditionalFormatting>
  <conditionalFormatting sqref="C45:D57">
    <cfRule type="cellIs" dxfId="20" priority="38" operator="equal">
      <formula>"ERROR: vp/vv"</formula>
    </cfRule>
  </conditionalFormatting>
  <conditionalFormatting sqref="I41">
    <cfRule type="cellIs" dxfId="19" priority="36" operator="notEqual">
      <formula>"Pass"</formula>
    </cfRule>
    <cfRule type="cellIs" dxfId="18" priority="37" operator="equal">
      <formula>"Pass"</formula>
    </cfRule>
  </conditionalFormatting>
  <conditionalFormatting sqref="H42">
    <cfRule type="cellIs" dxfId="17" priority="35" operator="equal">
      <formula>"ERROR"</formula>
    </cfRule>
  </conditionalFormatting>
  <conditionalFormatting sqref="L12">
    <cfRule type="cellIs" dxfId="16" priority="33" operator="equal">
      <formula>"CM ERROR"</formula>
    </cfRule>
  </conditionalFormatting>
  <conditionalFormatting sqref="E13 F7:F11">
    <cfRule type="cellIs" dxfId="15" priority="12" operator="equal">
      <formula>"GRAD. ?"</formula>
    </cfRule>
    <cfRule type="cellIs" dxfId="14" priority="13" operator="equal">
      <formula>"ENTER WTS."</formula>
    </cfRule>
    <cfRule type="cellIs" dxfId="13" priority="30" operator="equal">
      <formula>"SG?"</formula>
    </cfRule>
  </conditionalFormatting>
  <conditionalFormatting sqref="L13">
    <cfRule type="cellIs" dxfId="12" priority="26" operator="equal">
      <formula>"AIR ?"</formula>
    </cfRule>
  </conditionalFormatting>
  <conditionalFormatting sqref="K8">
    <cfRule type="cellIs" dxfId="11" priority="18" operator="equal">
      <formula>"SG?"</formula>
    </cfRule>
  </conditionalFormatting>
  <conditionalFormatting sqref="K9">
    <cfRule type="cellIs" dxfId="10" priority="16" operator="equal">
      <formula>"SG?"</formula>
    </cfRule>
  </conditionalFormatting>
  <conditionalFormatting sqref="K10:K11">
    <cfRule type="cellIs" dxfId="9" priority="15" operator="equal">
      <formula>"SG?"</formula>
    </cfRule>
  </conditionalFormatting>
  <conditionalFormatting sqref="F38:G39">
    <cfRule type="cellIs" dxfId="8" priority="11" operator="equal">
      <formula>"ERROR"</formula>
    </cfRule>
  </conditionalFormatting>
  <conditionalFormatting sqref="D13">
    <cfRule type="cellIs" dxfId="7" priority="8" operator="notEqual">
      <formula>100</formula>
    </cfRule>
    <cfRule type="cellIs" dxfId="6" priority="9" operator="equal">
      <formula>100</formula>
    </cfRule>
  </conditionalFormatting>
  <conditionalFormatting sqref="J46">
    <cfRule type="cellIs" dxfId="5" priority="5" operator="equal">
      <formula>"CM ERROR"</formula>
    </cfRule>
    <cfRule type="cellIs" dxfId="4" priority="6" operator="equal">
      <formula>"VOID CONT.?"</formula>
    </cfRule>
    <cfRule type="cellIs" dxfId="3" priority="7" operator="lessThan">
      <formula>1.25</formula>
    </cfRule>
  </conditionalFormatting>
  <conditionalFormatting sqref="G49:G53">
    <cfRule type="cellIs" dxfId="2" priority="4" operator="equal">
      <formula>"CM ERROR"</formula>
    </cfRule>
  </conditionalFormatting>
  <conditionalFormatting sqref="J45">
    <cfRule type="cellIs" dxfId="1" priority="2" operator="equal">
      <formula>"VOID CONT.?"</formula>
    </cfRule>
  </conditionalFormatting>
  <conditionalFormatting sqref="G53">
    <cfRule type="cellIs" dxfId="0" priority="1" operator="equal">
      <formula>"VOID CONT.?"</formula>
    </cfRule>
  </conditionalFormatting>
  <printOptions horizontalCentered="1" verticalCentered="1"/>
  <pageMargins left="0.25" right="0.25" top="0.75" bottom="0.75" header="0.3" footer="0.3"/>
  <pageSetup scale="52" fitToWidth="0" fitToHeight="0" orientation="landscape" verticalDpi="1200" r:id="rId1"/>
  <headerFooter>
    <oddFooter>&amp;L&amp;9&amp;A&amp;C&amp;9&amp;P of &amp;N&amp;R&amp;9&amp;F</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errorStyle="warning" showInputMessage="1" showErrorMessage="1" errorTitle="WARNING" error="Please use drop down menu to fill in the cell." xr:uid="{7873BC51-E93E-4FF0-A918-1A7C0AB00070}">
          <x14:formula1>
            <xm:f>'6 Agg Analysis'!$AG$42:$AG$46</xm:f>
          </x14:formula1>
          <xm:sqref>A38:B40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A4E8-B53C-4611-B693-E7F1D5BE2C9B}">
  <dimension ref="A1:Z144"/>
  <sheetViews>
    <sheetView showGridLines="0" zoomScale="90" zoomScaleNormal="90" zoomScaleSheetLayoutView="85" workbookViewId="0">
      <selection activeCell="Q58" sqref="Q58"/>
    </sheetView>
  </sheetViews>
  <sheetFormatPr defaultColWidth="9.28515625" defaultRowHeight="15.75" x14ac:dyDescent="0.25"/>
  <cols>
    <col min="1" max="1" width="16.5703125" style="405" customWidth="1"/>
    <col min="2" max="2" width="10.7109375" style="405" customWidth="1"/>
    <col min="3" max="12" width="13.5703125" style="405" customWidth="1"/>
    <col min="13" max="17" width="13.7109375" style="405" customWidth="1"/>
    <col min="18" max="19" width="12.7109375" style="405" bestFit="1" customWidth="1"/>
    <col min="20" max="20" width="14" style="405" customWidth="1"/>
    <col min="21" max="21" width="11.7109375" style="405" customWidth="1"/>
    <col min="22" max="22" width="9.28515625" style="405" bestFit="1" customWidth="1"/>
    <col min="23" max="23" width="11.5703125" style="405" customWidth="1"/>
    <col min="24" max="24" width="9.28515625" style="405"/>
    <col min="25" max="26" width="9.28515625" style="405" bestFit="1" customWidth="1"/>
    <col min="27" max="16384" width="9.28515625" style="405"/>
  </cols>
  <sheetData>
    <row r="1" spans="1:21" ht="16.5" thickBot="1" x14ac:dyDescent="0.3">
      <c r="A1" s="1322" t="s">
        <v>378</v>
      </c>
      <c r="B1" s="1323"/>
      <c r="C1" s="1323"/>
      <c r="D1" s="1323"/>
      <c r="E1" s="1323"/>
      <c r="F1" s="1323"/>
      <c r="G1" s="1324" t="s">
        <v>365</v>
      </c>
      <c r="H1" s="1324"/>
      <c r="I1" s="1325"/>
    </row>
    <row r="2" spans="1:21" ht="16.5" thickBot="1" x14ac:dyDescent="0.3">
      <c r="A2" s="499" t="str">
        <f>Directions!A2</f>
        <v>DT2221     08/2022</v>
      </c>
      <c r="B2" s="495"/>
      <c r="C2" s="496"/>
      <c r="D2" s="496"/>
      <c r="E2" s="496"/>
      <c r="F2" s="496"/>
      <c r="G2" s="496"/>
      <c r="H2" s="496"/>
    </row>
    <row r="3" spans="1:21" ht="15.6" customHeight="1" thickBot="1" x14ac:dyDescent="0.3">
      <c r="D3" s="406"/>
      <c r="E3" s="406"/>
      <c r="G3" s="1344" t="s">
        <v>152</v>
      </c>
      <c r="H3" s="1345"/>
      <c r="I3" s="1345"/>
      <c r="J3" s="1346"/>
      <c r="K3" s="406"/>
      <c r="L3" s="406"/>
      <c r="M3" s="406"/>
      <c r="N3" s="406"/>
      <c r="O3" s="406"/>
      <c r="P3" s="406"/>
      <c r="Q3" s="406"/>
      <c r="R3" s="406"/>
      <c r="S3" s="406"/>
      <c r="T3" s="407"/>
    </row>
    <row r="4" spans="1:21" ht="15.6" customHeight="1" x14ac:dyDescent="0.25">
      <c r="A4" s="408"/>
      <c r="B4" s="1347"/>
      <c r="C4" s="1347"/>
      <c r="G4" s="409" t="s">
        <v>153</v>
      </c>
      <c r="H4" s="410"/>
      <c r="I4" s="410"/>
      <c r="J4" s="411" t="e">
        <f>SUM(N32:N37)/SUM(N32:N39)*100</f>
        <v>#VALUE!</v>
      </c>
      <c r="N4" s="406"/>
      <c r="O4" s="406"/>
      <c r="P4" s="406"/>
      <c r="Q4" s="406"/>
      <c r="R4" s="406"/>
      <c r="T4" s="407"/>
      <c r="U4" s="407"/>
    </row>
    <row r="5" spans="1:21" ht="15.6" customHeight="1" x14ac:dyDescent="0.25">
      <c r="A5" s="412"/>
      <c r="B5" s="1348" t="str">
        <f>Directions!N8</f>
        <v>Version 2.1</v>
      </c>
      <c r="C5" s="1348"/>
      <c r="G5" s="413" t="s">
        <v>149</v>
      </c>
      <c r="J5" s="414" t="e">
        <f>M39</f>
        <v>#VALUE!</v>
      </c>
      <c r="Q5" s="406"/>
      <c r="S5" s="406"/>
    </row>
    <row r="6" spans="1:21" ht="15.6" customHeight="1" x14ac:dyDescent="0.25">
      <c r="A6" s="415"/>
      <c r="B6" s="1351" t="s">
        <v>224</v>
      </c>
      <c r="C6" s="1351"/>
      <c r="D6" s="1351"/>
      <c r="E6" s="1351"/>
      <c r="G6" s="413" t="s">
        <v>150</v>
      </c>
      <c r="J6" s="414">
        <f>IF('3 Paste Quality'!B31&lt;565,0,('3 Paste Quality'!B31-565)/94)*2.5</f>
        <v>0</v>
      </c>
    </row>
    <row r="7" spans="1:21" ht="16.5" thickBot="1" x14ac:dyDescent="0.3">
      <c r="A7" s="412"/>
      <c r="B7" s="1351"/>
      <c r="C7" s="1351"/>
      <c r="D7" s="1351"/>
      <c r="E7" s="1351"/>
      <c r="F7" s="416"/>
      <c r="G7" s="417" t="s">
        <v>151</v>
      </c>
      <c r="H7" s="418"/>
      <c r="I7" s="419"/>
      <c r="J7" s="420" t="e">
        <f>J6+J5</f>
        <v>#VALUE!</v>
      </c>
    </row>
    <row r="8" spans="1:21" x14ac:dyDescent="0.25">
      <c r="A8" s="421"/>
      <c r="B8" s="1351"/>
      <c r="C8" s="1351"/>
      <c r="D8" s="1351"/>
      <c r="E8" s="1351"/>
      <c r="G8" s="422"/>
    </row>
    <row r="9" spans="1:21" x14ac:dyDescent="0.25">
      <c r="A9" s="423"/>
      <c r="B9" s="421"/>
      <c r="C9" s="424"/>
      <c r="G9" s="422"/>
    </row>
    <row r="26" spans="2:14" ht="16.5" thickBot="1" x14ac:dyDescent="0.3"/>
    <row r="27" spans="2:14" ht="16.5" thickBot="1" x14ac:dyDescent="0.3">
      <c r="G27" s="1341" t="s">
        <v>245</v>
      </c>
      <c r="H27" s="1342"/>
      <c r="I27" s="1342"/>
      <c r="J27" s="1342"/>
      <c r="K27" s="1342"/>
      <c r="L27" s="1342"/>
      <c r="M27" s="1342"/>
      <c r="N27" s="1343"/>
    </row>
    <row r="28" spans="2:14" ht="16.5" thickBot="1" x14ac:dyDescent="0.3">
      <c r="G28" s="427"/>
      <c r="H28" s="1349" t="s">
        <v>212</v>
      </c>
      <c r="I28" s="1350"/>
      <c r="J28" s="1350"/>
      <c r="K28" s="1350"/>
      <c r="L28" s="1350"/>
      <c r="M28" s="1339" t="s">
        <v>215</v>
      </c>
      <c r="N28" s="1340"/>
    </row>
    <row r="29" spans="2:14" x14ac:dyDescent="0.25">
      <c r="G29" s="428" t="s">
        <v>30</v>
      </c>
      <c r="H29" s="429" t="s">
        <v>158</v>
      </c>
      <c r="I29" s="430" t="s">
        <v>159</v>
      </c>
      <c r="J29" s="429" t="s">
        <v>176</v>
      </c>
      <c r="K29" s="430" t="s">
        <v>177</v>
      </c>
      <c r="L29" s="429" t="s">
        <v>178</v>
      </c>
      <c r="M29" s="1333" t="s">
        <v>213</v>
      </c>
      <c r="N29" s="1336" t="s">
        <v>214</v>
      </c>
    </row>
    <row r="30" spans="2:14" x14ac:dyDescent="0.25">
      <c r="B30" s="425"/>
      <c r="C30" s="426"/>
      <c r="G30" s="431" t="s">
        <v>170</v>
      </c>
      <c r="H30" s="153" t="str">
        <f>IF('2 Aggregate System'!B13="","",'2 Aggregate System'!B13)</f>
        <v/>
      </c>
      <c r="I30" s="154" t="str">
        <f>IF('2 Aggregate System'!B14="","",'2 Aggregate System'!B14)</f>
        <v/>
      </c>
      <c r="J30" s="153" t="str">
        <f>IF('2 Aggregate System'!B15="","",'2 Aggregate System'!B15)</f>
        <v/>
      </c>
      <c r="K30" s="154" t="str">
        <f>IF('2 Aggregate System'!B16="","",'2 Aggregate System'!B16)</f>
        <v/>
      </c>
      <c r="L30" s="153" t="str">
        <f>IF('2 Aggregate System'!B17="","",'2 Aggregate System'!B17)</f>
        <v/>
      </c>
      <c r="M30" s="1334"/>
      <c r="N30" s="1337"/>
    </row>
    <row r="31" spans="2:14" ht="16.5" thickBot="1" x14ac:dyDescent="0.3">
      <c r="C31" s="426"/>
      <c r="G31" s="432" t="s">
        <v>243</v>
      </c>
      <c r="H31" s="433" t="e">
        <f>IF('6 Agg Analysis'!AE34=0,0,'6 Agg Analysis'!AE34)</f>
        <v>#DIV/0!</v>
      </c>
      <c r="I31" s="434" t="e">
        <f>IF('6 Agg Analysis'!AE35=0,0,'6 Agg Analysis'!AE35)</f>
        <v>#DIV/0!</v>
      </c>
      <c r="J31" s="433" t="e">
        <f>IF('6 Agg Analysis'!AE36=0,0,'6 Agg Analysis'!AE36)</f>
        <v>#DIV/0!</v>
      </c>
      <c r="K31" s="434" t="e">
        <f>IF('6 Agg Analysis'!AE37=0,0,'6 Agg Analysis'!AE37)</f>
        <v>#DIV/0!</v>
      </c>
      <c r="L31" s="433" t="e">
        <f>IF('6 Agg Analysis'!AE38=0,0,'6 Agg Analysis'!AE38)</f>
        <v>#DIV/0!</v>
      </c>
      <c r="M31" s="1335"/>
      <c r="N31" s="1338"/>
    </row>
    <row r="32" spans="2:14" x14ac:dyDescent="0.25">
      <c r="G32" s="76" t="s">
        <v>33</v>
      </c>
      <c r="H32" s="435" t="e">
        <f>'4 Mix Design'!$I$14*'2 Aggregate System'!B26/100</f>
        <v>#VALUE!</v>
      </c>
      <c r="I32" s="436" t="e">
        <f>'4 Mix Design'!$I$15*'2 Aggregate System'!C26/100</f>
        <v>#VALUE!</v>
      </c>
      <c r="J32" s="435" t="e">
        <f>'4 Mix Design'!$I$16*'2 Aggregate System'!D26/100</f>
        <v>#VALUE!</v>
      </c>
      <c r="K32" s="436" t="e">
        <f>'4 Mix Design'!$I$17*'2 Aggregate System'!E26/100</f>
        <v>#VALUE!</v>
      </c>
      <c r="L32" s="435" t="e">
        <f>'4 Mix Design'!$I$18*'2 Aggregate System'!F26/100</f>
        <v>#VALUE!</v>
      </c>
      <c r="M32" s="437" t="e">
        <f>SUM(H32:L32)</f>
        <v>#VALUE!</v>
      </c>
      <c r="N32" s="438" t="e">
        <f>100-M32</f>
        <v>#VALUE!</v>
      </c>
    </row>
    <row r="33" spans="7:14" x14ac:dyDescent="0.25">
      <c r="G33" s="77" t="s">
        <v>34</v>
      </c>
      <c r="H33" s="439" t="e">
        <f>'4 Mix Design'!$I$14*'2 Aggregate System'!B27/100</f>
        <v>#VALUE!</v>
      </c>
      <c r="I33" s="440" t="e">
        <f>'4 Mix Design'!$I$15*'2 Aggregate System'!C27/100</f>
        <v>#VALUE!</v>
      </c>
      <c r="J33" s="439" t="e">
        <f>'4 Mix Design'!$I$16*'2 Aggregate System'!D27/100</f>
        <v>#VALUE!</v>
      </c>
      <c r="K33" s="440" t="e">
        <f>'4 Mix Design'!$I$17*'2 Aggregate System'!E27/100</f>
        <v>#VALUE!</v>
      </c>
      <c r="L33" s="439" t="e">
        <f>'4 Mix Design'!$I$18*'2 Aggregate System'!F27/100</f>
        <v>#VALUE!</v>
      </c>
      <c r="M33" s="441" t="e">
        <f t="shared" ref="M33:M44" si="0">SUM(H33:L33)</f>
        <v>#VALUE!</v>
      </c>
      <c r="N33" s="442" t="e">
        <f>100-M33</f>
        <v>#VALUE!</v>
      </c>
    </row>
    <row r="34" spans="7:14" x14ac:dyDescent="0.25">
      <c r="G34" s="77" t="s">
        <v>35</v>
      </c>
      <c r="H34" s="439" t="e">
        <f>'4 Mix Design'!$I$14*'2 Aggregate System'!B28/100</f>
        <v>#VALUE!</v>
      </c>
      <c r="I34" s="440" t="e">
        <f>'4 Mix Design'!$I$15*'2 Aggregate System'!C28/100</f>
        <v>#VALUE!</v>
      </c>
      <c r="J34" s="439" t="e">
        <f>'4 Mix Design'!$I$16*'2 Aggregate System'!D28/100</f>
        <v>#VALUE!</v>
      </c>
      <c r="K34" s="440" t="e">
        <f>'4 Mix Design'!$I$17*'2 Aggregate System'!E28/100</f>
        <v>#VALUE!</v>
      </c>
      <c r="L34" s="439" t="e">
        <f>'4 Mix Design'!$I$18*'2 Aggregate System'!F28/100</f>
        <v>#VALUE!</v>
      </c>
      <c r="M34" s="441" t="e">
        <f t="shared" si="0"/>
        <v>#VALUE!</v>
      </c>
      <c r="N34" s="442" t="e">
        <f t="shared" ref="N34:N44" si="1">100-M34</f>
        <v>#VALUE!</v>
      </c>
    </row>
    <row r="35" spans="7:14" x14ac:dyDescent="0.25">
      <c r="G35" s="77" t="s">
        <v>36</v>
      </c>
      <c r="H35" s="439" t="e">
        <f>'4 Mix Design'!$I$14*'2 Aggregate System'!B29/100</f>
        <v>#VALUE!</v>
      </c>
      <c r="I35" s="440" t="e">
        <f>'4 Mix Design'!$I$15*'2 Aggregate System'!C29/100</f>
        <v>#VALUE!</v>
      </c>
      <c r="J35" s="439" t="e">
        <f>'4 Mix Design'!$I$16*'2 Aggregate System'!D29/100</f>
        <v>#VALUE!</v>
      </c>
      <c r="K35" s="440" t="e">
        <f>'4 Mix Design'!$I$17*'2 Aggregate System'!E29/100</f>
        <v>#VALUE!</v>
      </c>
      <c r="L35" s="439" t="e">
        <f>'4 Mix Design'!$I$18*'2 Aggregate System'!F29/100</f>
        <v>#VALUE!</v>
      </c>
      <c r="M35" s="441" t="e">
        <f t="shared" si="0"/>
        <v>#VALUE!</v>
      </c>
      <c r="N35" s="442" t="e">
        <f t="shared" si="1"/>
        <v>#VALUE!</v>
      </c>
    </row>
    <row r="36" spans="7:14" x14ac:dyDescent="0.25">
      <c r="G36" s="77" t="s">
        <v>37</v>
      </c>
      <c r="H36" s="439" t="e">
        <f>'4 Mix Design'!$I$14*'2 Aggregate System'!B30/100</f>
        <v>#VALUE!</v>
      </c>
      <c r="I36" s="440" t="e">
        <f>'4 Mix Design'!$I$15*'2 Aggregate System'!C30/100</f>
        <v>#VALUE!</v>
      </c>
      <c r="J36" s="439" t="e">
        <f>'4 Mix Design'!$I$16*'2 Aggregate System'!D30/100</f>
        <v>#VALUE!</v>
      </c>
      <c r="K36" s="440" t="e">
        <f>'4 Mix Design'!$I$17*'2 Aggregate System'!E30/100</f>
        <v>#VALUE!</v>
      </c>
      <c r="L36" s="439" t="e">
        <f>'4 Mix Design'!$I$18*'2 Aggregate System'!F30/100</f>
        <v>#VALUE!</v>
      </c>
      <c r="M36" s="441" t="e">
        <f t="shared" si="0"/>
        <v>#VALUE!</v>
      </c>
      <c r="N36" s="442" t="e">
        <f t="shared" si="1"/>
        <v>#VALUE!</v>
      </c>
    </row>
    <row r="37" spans="7:14" x14ac:dyDescent="0.25">
      <c r="G37" s="77" t="s">
        <v>38</v>
      </c>
      <c r="H37" s="439" t="e">
        <f>'4 Mix Design'!$I$14*'2 Aggregate System'!B31/100</f>
        <v>#VALUE!</v>
      </c>
      <c r="I37" s="440" t="e">
        <f>'4 Mix Design'!$I$15*'2 Aggregate System'!C31/100</f>
        <v>#VALUE!</v>
      </c>
      <c r="J37" s="439" t="e">
        <f>'4 Mix Design'!$I$16*'2 Aggregate System'!D31/100</f>
        <v>#VALUE!</v>
      </c>
      <c r="K37" s="440" t="e">
        <f>'4 Mix Design'!$I$17*'2 Aggregate System'!E31/100</f>
        <v>#VALUE!</v>
      </c>
      <c r="L37" s="439" t="e">
        <f>'4 Mix Design'!$I$18*'2 Aggregate System'!F31/100</f>
        <v>#VALUE!</v>
      </c>
      <c r="M37" s="441" t="e">
        <f t="shared" si="0"/>
        <v>#VALUE!</v>
      </c>
      <c r="N37" s="442" t="e">
        <f t="shared" si="1"/>
        <v>#VALUE!</v>
      </c>
    </row>
    <row r="38" spans="7:14" x14ac:dyDescent="0.25">
      <c r="G38" s="77" t="s">
        <v>39</v>
      </c>
      <c r="H38" s="439" t="e">
        <f>'4 Mix Design'!$I$14*'2 Aggregate System'!B32/100</f>
        <v>#VALUE!</v>
      </c>
      <c r="I38" s="440" t="e">
        <f>'4 Mix Design'!$I$15*'2 Aggregate System'!C32/100</f>
        <v>#VALUE!</v>
      </c>
      <c r="J38" s="439" t="e">
        <f>'4 Mix Design'!$I$16*'2 Aggregate System'!D32/100</f>
        <v>#VALUE!</v>
      </c>
      <c r="K38" s="440" t="e">
        <f>'4 Mix Design'!$I$17*'2 Aggregate System'!E32/100</f>
        <v>#VALUE!</v>
      </c>
      <c r="L38" s="439" t="e">
        <f>'4 Mix Design'!$I$18*'2 Aggregate System'!F32/100</f>
        <v>#VALUE!</v>
      </c>
      <c r="M38" s="441" t="e">
        <f t="shared" si="0"/>
        <v>#VALUE!</v>
      </c>
      <c r="N38" s="442" t="e">
        <f t="shared" si="1"/>
        <v>#VALUE!</v>
      </c>
    </row>
    <row r="39" spans="7:14" x14ac:dyDescent="0.25">
      <c r="G39" s="77" t="s">
        <v>40</v>
      </c>
      <c r="H39" s="439" t="e">
        <f>'4 Mix Design'!$I$14*'2 Aggregate System'!B33/100</f>
        <v>#VALUE!</v>
      </c>
      <c r="I39" s="440" t="e">
        <f>'4 Mix Design'!$I$15*'2 Aggregate System'!C33/100</f>
        <v>#VALUE!</v>
      </c>
      <c r="J39" s="439" t="e">
        <f>'4 Mix Design'!$I$16*'2 Aggregate System'!D33/100</f>
        <v>#VALUE!</v>
      </c>
      <c r="K39" s="440" t="e">
        <f>'4 Mix Design'!$I$17*'2 Aggregate System'!E33/100</f>
        <v>#VALUE!</v>
      </c>
      <c r="L39" s="439" t="e">
        <f>'4 Mix Design'!$I$18*'2 Aggregate System'!F33/100</f>
        <v>#VALUE!</v>
      </c>
      <c r="M39" s="441" t="e">
        <f t="shared" si="0"/>
        <v>#VALUE!</v>
      </c>
      <c r="N39" s="442" t="e">
        <f t="shared" si="1"/>
        <v>#VALUE!</v>
      </c>
    </row>
    <row r="40" spans="7:14" x14ac:dyDescent="0.25">
      <c r="G40" s="77" t="s">
        <v>41</v>
      </c>
      <c r="H40" s="439" t="e">
        <f>'4 Mix Design'!$I$14*'2 Aggregate System'!B34/100</f>
        <v>#VALUE!</v>
      </c>
      <c r="I40" s="440" t="e">
        <f>'4 Mix Design'!$I$15*'2 Aggregate System'!C34/100</f>
        <v>#VALUE!</v>
      </c>
      <c r="J40" s="439" t="e">
        <f>'4 Mix Design'!$I$16*'2 Aggregate System'!D34/100</f>
        <v>#VALUE!</v>
      </c>
      <c r="K40" s="440" t="e">
        <f>'4 Mix Design'!$I$17*'2 Aggregate System'!E34/100</f>
        <v>#VALUE!</v>
      </c>
      <c r="L40" s="439" t="e">
        <f>'4 Mix Design'!$I$18*'2 Aggregate System'!F34/100</f>
        <v>#VALUE!</v>
      </c>
      <c r="M40" s="441" t="e">
        <f t="shared" si="0"/>
        <v>#VALUE!</v>
      </c>
      <c r="N40" s="442" t="e">
        <f t="shared" si="1"/>
        <v>#VALUE!</v>
      </c>
    </row>
    <row r="41" spans="7:14" x14ac:dyDescent="0.25">
      <c r="G41" s="77" t="s">
        <v>42</v>
      </c>
      <c r="H41" s="439" t="e">
        <f>'4 Mix Design'!$I$14*'2 Aggregate System'!B35/100</f>
        <v>#VALUE!</v>
      </c>
      <c r="I41" s="440" t="e">
        <f>'4 Mix Design'!$I$15*'2 Aggregate System'!C35/100</f>
        <v>#VALUE!</v>
      </c>
      <c r="J41" s="439" t="e">
        <f>'4 Mix Design'!$I$16*'2 Aggregate System'!D35/100</f>
        <v>#VALUE!</v>
      </c>
      <c r="K41" s="440" t="e">
        <f>'4 Mix Design'!$I$17*'2 Aggregate System'!E35/100</f>
        <v>#VALUE!</v>
      </c>
      <c r="L41" s="439" t="e">
        <f>'4 Mix Design'!$I$18*'2 Aggregate System'!F35/100</f>
        <v>#VALUE!</v>
      </c>
      <c r="M41" s="441" t="e">
        <f t="shared" si="0"/>
        <v>#VALUE!</v>
      </c>
      <c r="N41" s="442" t="e">
        <f t="shared" si="1"/>
        <v>#VALUE!</v>
      </c>
    </row>
    <row r="42" spans="7:14" x14ac:dyDescent="0.25">
      <c r="G42" s="77" t="s">
        <v>43</v>
      </c>
      <c r="H42" s="439" t="e">
        <f>'4 Mix Design'!$I$14*'2 Aggregate System'!B36/100</f>
        <v>#VALUE!</v>
      </c>
      <c r="I42" s="440" t="e">
        <f>'4 Mix Design'!$I$15*'2 Aggregate System'!C36/100</f>
        <v>#VALUE!</v>
      </c>
      <c r="J42" s="439" t="e">
        <f>'4 Mix Design'!$I$16*'2 Aggregate System'!D36/100</f>
        <v>#VALUE!</v>
      </c>
      <c r="K42" s="440" t="e">
        <f>'4 Mix Design'!$I$17*'2 Aggregate System'!E36/100</f>
        <v>#VALUE!</v>
      </c>
      <c r="L42" s="439" t="e">
        <f>'4 Mix Design'!$I$18*'2 Aggregate System'!F36/100</f>
        <v>#VALUE!</v>
      </c>
      <c r="M42" s="441" t="e">
        <f t="shared" si="0"/>
        <v>#VALUE!</v>
      </c>
      <c r="N42" s="442" t="e">
        <f t="shared" si="1"/>
        <v>#VALUE!</v>
      </c>
    </row>
    <row r="43" spans="7:14" x14ac:dyDescent="0.25">
      <c r="G43" s="77" t="s">
        <v>44</v>
      </c>
      <c r="H43" s="439" t="e">
        <f>'4 Mix Design'!$I$14*'2 Aggregate System'!B37/100</f>
        <v>#VALUE!</v>
      </c>
      <c r="I43" s="440" t="e">
        <f>'4 Mix Design'!$I$15*'2 Aggregate System'!C37/100</f>
        <v>#VALUE!</v>
      </c>
      <c r="J43" s="439" t="e">
        <f>'4 Mix Design'!$I$16*'2 Aggregate System'!D37/100</f>
        <v>#VALUE!</v>
      </c>
      <c r="K43" s="440" t="e">
        <f>'4 Mix Design'!$I$17*'2 Aggregate System'!E37/100</f>
        <v>#VALUE!</v>
      </c>
      <c r="L43" s="439" t="e">
        <f>'4 Mix Design'!$I$18*'2 Aggregate System'!F37/100</f>
        <v>#VALUE!</v>
      </c>
      <c r="M43" s="441" t="e">
        <f t="shared" si="0"/>
        <v>#VALUE!</v>
      </c>
      <c r="N43" s="442" t="e">
        <f t="shared" si="1"/>
        <v>#VALUE!</v>
      </c>
    </row>
    <row r="44" spans="7:14" ht="16.5" thickBot="1" x14ac:dyDescent="0.3">
      <c r="G44" s="78" t="s">
        <v>45</v>
      </c>
      <c r="H44" s="443" t="e">
        <f>'4 Mix Design'!$I$14*'2 Aggregate System'!B38/100</f>
        <v>#VALUE!</v>
      </c>
      <c r="I44" s="444" t="e">
        <f>'4 Mix Design'!$I$15*'2 Aggregate System'!C38/100</f>
        <v>#VALUE!</v>
      </c>
      <c r="J44" s="443" t="e">
        <f>'4 Mix Design'!$I$16*'2 Aggregate System'!D38/100</f>
        <v>#VALUE!</v>
      </c>
      <c r="K44" s="444" t="e">
        <f>'4 Mix Design'!$I$17*'2 Aggregate System'!E38/100</f>
        <v>#VALUE!</v>
      </c>
      <c r="L44" s="443" t="e">
        <f>'4 Mix Design'!$I$18*'2 Aggregate System'!F38/100</f>
        <v>#VALUE!</v>
      </c>
      <c r="M44" s="445" t="e">
        <f t="shared" si="0"/>
        <v>#VALUE!</v>
      </c>
      <c r="N44" s="446" t="e">
        <f t="shared" si="1"/>
        <v>#VALUE!</v>
      </c>
    </row>
    <row r="75" spans="4:6" x14ac:dyDescent="0.25">
      <c r="D75"/>
      <c r="E75" s="447"/>
      <c r="F75" s="448"/>
    </row>
    <row r="76" spans="4:6" x14ac:dyDescent="0.25">
      <c r="D76"/>
      <c r="E76" s="447"/>
      <c r="F76" s="448"/>
    </row>
    <row r="77" spans="4:6" x14ac:dyDescent="0.25">
      <c r="D77"/>
      <c r="E77" s="447"/>
      <c r="F77" s="448"/>
    </row>
    <row r="78" spans="4:6" x14ac:dyDescent="0.25">
      <c r="D78"/>
      <c r="E78" s="447"/>
      <c r="F78" s="448"/>
    </row>
    <row r="79" spans="4:6" x14ac:dyDescent="0.25">
      <c r="D79"/>
      <c r="E79" s="447"/>
      <c r="F79" s="448"/>
    </row>
    <row r="80" spans="4:6" x14ac:dyDescent="0.25">
      <c r="D80"/>
      <c r="E80" s="447"/>
      <c r="F80" s="448"/>
    </row>
    <row r="81" spans="2:6" x14ac:dyDescent="0.25">
      <c r="D81"/>
      <c r="E81" s="447"/>
      <c r="F81" s="448"/>
    </row>
    <row r="86" spans="2:6" x14ac:dyDescent="0.25">
      <c r="B86" s="449"/>
      <c r="C86" s="450"/>
      <c r="D86" s="450"/>
    </row>
    <row r="87" spans="2:6" x14ac:dyDescent="0.25">
      <c r="B87" s="449"/>
      <c r="C87" s="450"/>
      <c r="D87" s="450"/>
    </row>
    <row r="88" spans="2:6" x14ac:dyDescent="0.25">
      <c r="B88" s="449"/>
      <c r="C88" s="450"/>
      <c r="D88" s="450"/>
    </row>
    <row r="89" spans="2:6" x14ac:dyDescent="0.25">
      <c r="B89" s="449"/>
      <c r="C89" s="450"/>
      <c r="D89" s="450"/>
    </row>
    <row r="90" spans="2:6" x14ac:dyDescent="0.25">
      <c r="B90" s="449"/>
      <c r="C90" s="450"/>
      <c r="D90" s="450"/>
    </row>
    <row r="91" spans="2:6" x14ac:dyDescent="0.25">
      <c r="B91" s="449"/>
      <c r="C91" s="450"/>
      <c r="D91" s="450"/>
    </row>
    <row r="92" spans="2:6" x14ac:dyDescent="0.25">
      <c r="B92" s="449"/>
      <c r="C92" s="451"/>
      <c r="D92" s="426"/>
    </row>
    <row r="93" spans="2:6" x14ac:dyDescent="0.25">
      <c r="C93" s="451"/>
      <c r="D93" s="426"/>
    </row>
    <row r="94" spans="2:6" x14ac:dyDescent="0.25">
      <c r="C94" s="451"/>
      <c r="D94" s="426"/>
    </row>
    <row r="95" spans="2:6" x14ac:dyDescent="0.25">
      <c r="C95" s="451"/>
      <c r="D95" s="426"/>
    </row>
    <row r="96" spans="2:6" x14ac:dyDescent="0.25">
      <c r="C96" s="451"/>
      <c r="D96" s="426"/>
    </row>
    <row r="97" spans="3:20" x14ac:dyDescent="0.25">
      <c r="C97" s="451"/>
      <c r="D97" s="426"/>
    </row>
    <row r="98" spans="3:20" x14ac:dyDescent="0.25">
      <c r="C98" s="451"/>
      <c r="D98" s="426"/>
    </row>
    <row r="99" spans="3:20" x14ac:dyDescent="0.25">
      <c r="C99" s="451"/>
      <c r="D99" s="426"/>
    </row>
    <row r="100" spans="3:20" x14ac:dyDescent="0.25">
      <c r="C100" s="451"/>
      <c r="D100" s="426"/>
    </row>
    <row r="101" spans="3:20" x14ac:dyDescent="0.25">
      <c r="C101" s="451"/>
      <c r="D101" s="426"/>
    </row>
    <row r="103" spans="3:20" x14ac:dyDescent="0.25">
      <c r="E103" s="452"/>
    </row>
    <row r="104" spans="3:20" x14ac:dyDescent="0.25">
      <c r="D104" s="425"/>
      <c r="E104" s="452"/>
      <c r="S104" s="452"/>
      <c r="T104" s="425"/>
    </row>
    <row r="105" spans="3:20" x14ac:dyDescent="0.25">
      <c r="D105" s="425"/>
      <c r="E105" s="452"/>
      <c r="S105" s="452"/>
      <c r="T105" s="425"/>
    </row>
    <row r="106" spans="3:20" x14ac:dyDescent="0.25">
      <c r="D106" s="425"/>
      <c r="E106" s="452"/>
      <c r="S106" s="452"/>
      <c r="T106" s="425"/>
    </row>
    <row r="107" spans="3:20" x14ac:dyDescent="0.25">
      <c r="D107" s="425"/>
      <c r="E107" s="452"/>
      <c r="S107" s="452"/>
      <c r="T107" s="425"/>
    </row>
    <row r="108" spans="3:20" x14ac:dyDescent="0.25">
      <c r="D108" s="425"/>
      <c r="E108" s="452"/>
      <c r="S108" s="452"/>
      <c r="T108" s="425"/>
    </row>
    <row r="109" spans="3:20" x14ac:dyDescent="0.25">
      <c r="D109" s="425"/>
      <c r="E109" s="452"/>
      <c r="S109" s="452"/>
      <c r="T109" s="425"/>
    </row>
    <row r="110" spans="3:20" x14ac:dyDescent="0.25">
      <c r="D110" s="425"/>
      <c r="S110" s="452"/>
      <c r="T110" s="425"/>
    </row>
    <row r="111" spans="3:20" x14ac:dyDescent="0.25">
      <c r="D111" s="425"/>
    </row>
    <row r="112" spans="3:20" x14ac:dyDescent="0.25">
      <c r="D112" s="425"/>
    </row>
    <row r="113" spans="4:26" x14ac:dyDescent="0.25">
      <c r="D113" s="425"/>
      <c r="R113" s="453"/>
      <c r="S113" s="453"/>
    </row>
    <row r="114" spans="4:26" x14ac:dyDescent="0.25">
      <c r="D114" s="425"/>
      <c r="R114" s="454"/>
      <c r="S114" s="454"/>
    </row>
    <row r="115" spans="4:26" x14ac:dyDescent="0.25">
      <c r="D115" s="425"/>
    </row>
    <row r="116" spans="4:26" x14ac:dyDescent="0.25">
      <c r="D116" s="425"/>
    </row>
    <row r="122" spans="4:26" x14ac:dyDescent="0.25">
      <c r="X122" s="455"/>
      <c r="Y122" s="455"/>
      <c r="Z122" s="455"/>
    </row>
    <row r="123" spans="4:26" x14ac:dyDescent="0.25">
      <c r="X123" s="455"/>
      <c r="Y123" s="455"/>
      <c r="Z123" s="455"/>
    </row>
    <row r="124" spans="4:26" x14ac:dyDescent="0.25">
      <c r="X124" s="455"/>
      <c r="Y124" s="455"/>
      <c r="Z124" s="455"/>
    </row>
    <row r="125" spans="4:26" x14ac:dyDescent="0.25">
      <c r="X125" s="455"/>
      <c r="Y125" s="455"/>
      <c r="Z125" s="455"/>
    </row>
    <row r="126" spans="4:26" x14ac:dyDescent="0.25">
      <c r="X126" s="455"/>
      <c r="Y126" s="455"/>
      <c r="Z126" s="455"/>
    </row>
    <row r="127" spans="4:26" x14ac:dyDescent="0.25">
      <c r="X127" s="455"/>
      <c r="Y127" s="455"/>
      <c r="Z127" s="455"/>
    </row>
    <row r="128" spans="4:26" x14ac:dyDescent="0.25">
      <c r="X128" s="455"/>
      <c r="Y128" s="455"/>
      <c r="Z128" s="455"/>
    </row>
    <row r="129" spans="5:26" x14ac:dyDescent="0.25">
      <c r="X129" s="455"/>
      <c r="Y129" s="455"/>
      <c r="Z129" s="455"/>
    </row>
    <row r="130" spans="5:26" x14ac:dyDescent="0.25">
      <c r="X130" s="455"/>
      <c r="Y130" s="455"/>
      <c r="Z130" s="455"/>
    </row>
    <row r="131" spans="5:26" x14ac:dyDescent="0.25">
      <c r="X131" s="455"/>
      <c r="Y131" s="455"/>
      <c r="Z131" s="455"/>
    </row>
    <row r="132" spans="5:26" x14ac:dyDescent="0.25">
      <c r="X132" s="455"/>
      <c r="Y132" s="455"/>
      <c r="Z132" s="455"/>
    </row>
    <row r="133" spans="5:26" x14ac:dyDescent="0.25">
      <c r="X133" s="455"/>
      <c r="Y133" s="455"/>
      <c r="Z133" s="455"/>
    </row>
    <row r="134" spans="5:26" x14ac:dyDescent="0.25">
      <c r="E134" s="426"/>
      <c r="X134" s="455"/>
      <c r="Y134" s="455"/>
      <c r="Z134" s="455"/>
    </row>
    <row r="135" spans="5:26" x14ac:dyDescent="0.25">
      <c r="E135" s="426"/>
      <c r="X135" s="455"/>
      <c r="Y135" s="455"/>
      <c r="Z135" s="455"/>
    </row>
    <row r="136" spans="5:26" x14ac:dyDescent="0.25">
      <c r="E136" s="426"/>
      <c r="X136" s="455"/>
      <c r="Y136" s="455"/>
      <c r="Z136" s="455"/>
    </row>
    <row r="137" spans="5:26" x14ac:dyDescent="0.25">
      <c r="E137" s="426"/>
      <c r="X137" s="455"/>
      <c r="Y137" s="455"/>
      <c r="Z137" s="455"/>
    </row>
    <row r="138" spans="5:26" x14ac:dyDescent="0.25">
      <c r="E138" s="426"/>
      <c r="X138" s="455"/>
      <c r="Y138" s="455"/>
      <c r="Z138" s="455"/>
    </row>
    <row r="139" spans="5:26" x14ac:dyDescent="0.25">
      <c r="E139" s="426"/>
      <c r="X139" s="455"/>
      <c r="Y139" s="455"/>
      <c r="Z139" s="455"/>
    </row>
    <row r="140" spans="5:26" x14ac:dyDescent="0.25">
      <c r="E140" s="426"/>
      <c r="X140" s="455"/>
      <c r="Y140" s="455"/>
      <c r="Z140" s="455"/>
    </row>
    <row r="141" spans="5:26" x14ac:dyDescent="0.25">
      <c r="E141" s="426"/>
    </row>
    <row r="142" spans="5:26" x14ac:dyDescent="0.25">
      <c r="E142" s="426"/>
    </row>
    <row r="143" spans="5:26" x14ac:dyDescent="0.25">
      <c r="E143" s="426"/>
    </row>
    <row r="144" spans="5:26" x14ac:dyDescent="0.25">
      <c r="E144" s="426"/>
    </row>
  </sheetData>
  <sheetProtection selectLockedCells="1"/>
  <mergeCells count="11">
    <mergeCell ref="G1:I1"/>
    <mergeCell ref="A1:F1"/>
    <mergeCell ref="M29:M31"/>
    <mergeCell ref="N29:N31"/>
    <mergeCell ref="M28:N28"/>
    <mergeCell ref="G27:N27"/>
    <mergeCell ref="G3:J3"/>
    <mergeCell ref="B4:C4"/>
    <mergeCell ref="B5:C5"/>
    <mergeCell ref="H28:L28"/>
    <mergeCell ref="B6:E8"/>
  </mergeCells>
  <pageMargins left="0.7" right="0.7" top="0.75" bottom="0.75" header="0.3" footer="0.3"/>
  <pageSetup scale="52" orientation="portrait" r:id="rId1"/>
  <headerFooter>
    <oddFooter>&amp;L&amp;9&amp;A&amp;C&amp;9&amp;P of &amp;N&amp;R&amp;9&amp;F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325B7-93A5-4FF1-946A-108F0EF435DE}">
  <sheetPr>
    <tabColor rgb="FFFF0000"/>
  </sheetPr>
  <dimension ref="A1:AY72"/>
  <sheetViews>
    <sheetView topLeftCell="R1" zoomScale="80" zoomScaleNormal="80" workbookViewId="0">
      <selection activeCell="AB8" sqref="AB8"/>
    </sheetView>
  </sheetViews>
  <sheetFormatPr defaultColWidth="9.28515625" defaultRowHeight="15.75" x14ac:dyDescent="0.25"/>
  <cols>
    <col min="1" max="6" width="9.28515625" style="1"/>
    <col min="7" max="7" width="10.42578125" style="1" bestFit="1" customWidth="1"/>
    <col min="8" max="8" width="9.28515625" style="1"/>
    <col min="9" max="9" width="14" style="1" bestFit="1" customWidth="1"/>
    <col min="10" max="18" width="9.28515625" style="1"/>
    <col min="19" max="20" width="10.42578125" style="1" bestFit="1" customWidth="1"/>
    <col min="21" max="22" width="9.28515625" style="1"/>
    <col min="23" max="24" width="10.42578125" style="1" bestFit="1" customWidth="1"/>
    <col min="25" max="27" width="9.28515625" style="1"/>
    <col min="28" max="30" width="15" style="1" bestFit="1" customWidth="1"/>
    <col min="31" max="31" width="16.140625" style="1" bestFit="1" customWidth="1"/>
    <col min="32" max="33" width="9.28515625" style="1"/>
    <col min="34" max="34" width="14.85546875" style="1" bestFit="1" customWidth="1"/>
    <col min="35" max="35" width="14.5703125" style="1" bestFit="1" customWidth="1"/>
    <col min="36" max="40" width="9.28515625" style="1"/>
    <col min="41" max="41" width="13.28515625" style="1" bestFit="1" customWidth="1"/>
    <col min="42" max="44" width="9.28515625" style="1"/>
    <col min="45" max="45" width="14.140625" style="1" bestFit="1" customWidth="1"/>
    <col min="46" max="46" width="9.28515625" style="1"/>
    <col min="47" max="47" width="15" style="1" bestFit="1" customWidth="1"/>
    <col min="48" max="53" width="9.28515625" style="1"/>
    <col min="54" max="54" width="15" style="1" bestFit="1" customWidth="1"/>
    <col min="55" max="56" width="9.28515625" style="1"/>
    <col min="57" max="57" width="15.7109375" style="1" bestFit="1" customWidth="1"/>
    <col min="58" max="58" width="10.5703125" style="1" bestFit="1" customWidth="1"/>
    <col min="59" max="16384" width="9.28515625" style="1"/>
  </cols>
  <sheetData>
    <row r="1" spans="1:51" ht="16.149999999999999" customHeight="1" thickBot="1" x14ac:dyDescent="0.3">
      <c r="A1" s="1322" t="s">
        <v>378</v>
      </c>
      <c r="B1" s="1323"/>
      <c r="C1" s="1323"/>
      <c r="D1" s="1323"/>
      <c r="E1" s="1323"/>
      <c r="F1" s="1323"/>
      <c r="G1" s="1323"/>
      <c r="H1" s="732"/>
      <c r="I1" s="1324" t="s">
        <v>365</v>
      </c>
      <c r="J1" s="1324"/>
      <c r="K1" s="1324"/>
      <c r="L1" s="1325"/>
      <c r="Q1" s="1367" t="s">
        <v>199</v>
      </c>
      <c r="R1" s="1367"/>
      <c r="S1" s="1367"/>
      <c r="T1" s="1367"/>
      <c r="U1" s="1367"/>
      <c r="V1" s="1367"/>
      <c r="W1" s="1367"/>
      <c r="X1" s="1367"/>
      <c r="Y1" s="1367"/>
      <c r="Z1" s="1367"/>
      <c r="AA1" s="1367"/>
      <c r="AB1" s="1367"/>
      <c r="AC1" s="1367"/>
      <c r="AD1" s="1367"/>
      <c r="AE1" s="1367"/>
      <c r="AF1" s="1367"/>
    </row>
    <row r="2" spans="1:51" ht="15.6" customHeight="1" x14ac:dyDescent="0.25">
      <c r="A2" s="499" t="str">
        <f>Directions!A2</f>
        <v>DT2221     08/2022</v>
      </c>
      <c r="Q2" s="1367"/>
      <c r="R2" s="1367"/>
      <c r="S2" s="1367"/>
      <c r="T2" s="1367"/>
      <c r="U2" s="1367"/>
      <c r="V2" s="1367"/>
      <c r="W2" s="1367"/>
      <c r="X2" s="1367"/>
      <c r="Y2" s="1367"/>
      <c r="Z2" s="1367"/>
      <c r="AA2" s="1367"/>
      <c r="AB2" s="1367"/>
      <c r="AC2" s="1367"/>
      <c r="AD2" s="1367"/>
      <c r="AE2" s="1367"/>
      <c r="AF2" s="1367"/>
    </row>
    <row r="3" spans="1:51" ht="15.6" customHeight="1" x14ac:dyDescent="0.25">
      <c r="B3" s="495"/>
      <c r="C3" s="496"/>
      <c r="D3" s="496"/>
      <c r="E3" s="496"/>
      <c r="F3" s="496"/>
      <c r="G3" s="496"/>
      <c r="H3" s="496"/>
      <c r="I3" s="405"/>
      <c r="Q3" s="1367"/>
      <c r="R3" s="1367"/>
      <c r="S3" s="1367"/>
      <c r="T3" s="1367"/>
      <c r="U3" s="1367"/>
      <c r="V3" s="1367"/>
      <c r="W3" s="1367"/>
      <c r="X3" s="1367"/>
      <c r="Y3" s="1367"/>
      <c r="Z3" s="1367"/>
      <c r="AA3" s="1367"/>
      <c r="AB3" s="1367"/>
      <c r="AC3" s="1367"/>
      <c r="AD3" s="1367"/>
      <c r="AE3" s="1367"/>
      <c r="AF3" s="1367"/>
    </row>
    <row r="4" spans="1:51" ht="15.6" customHeight="1" thickBot="1" x14ac:dyDescent="0.3">
      <c r="B4" s="4" t="s">
        <v>83</v>
      </c>
      <c r="Q4" s="1367"/>
      <c r="R4" s="1367"/>
      <c r="S4" s="1367"/>
      <c r="T4" s="1367"/>
      <c r="U4" s="1367"/>
      <c r="V4" s="1367"/>
      <c r="W4" s="1367"/>
      <c r="X4" s="1367"/>
      <c r="Y4" s="1367"/>
      <c r="Z4" s="1367"/>
      <c r="AA4" s="1367"/>
      <c r="AB4" s="1367"/>
      <c r="AC4" s="1367"/>
      <c r="AD4" s="1367"/>
      <c r="AE4" s="1367"/>
      <c r="AF4" s="1367"/>
    </row>
    <row r="5" spans="1:51" ht="16.5" thickBot="1" x14ac:dyDescent="0.3">
      <c r="B5" s="12"/>
      <c r="C5" s="13" t="s">
        <v>28</v>
      </c>
      <c r="D5" s="13" t="s">
        <v>29</v>
      </c>
      <c r="E5" s="13" t="s">
        <v>84</v>
      </c>
      <c r="F5" s="13"/>
      <c r="G5" s="14" t="s">
        <v>85</v>
      </c>
      <c r="H5" s="4"/>
      <c r="O5" s="5" t="e">
        <f>'2 Aggregate System'!#REF!</f>
        <v>#REF!</v>
      </c>
      <c r="AH5" s="1352" t="s">
        <v>459</v>
      </c>
      <c r="AI5" s="1352"/>
      <c r="AJ5" s="1352"/>
      <c r="AK5" s="1352"/>
      <c r="AV5" s="1353" t="s">
        <v>605</v>
      </c>
      <c r="AW5" s="1354"/>
      <c r="AX5" s="1354"/>
      <c r="AY5" s="1355"/>
    </row>
    <row r="6" spans="1:51" ht="16.5" thickBot="1" x14ac:dyDescent="0.3">
      <c r="B6" s="15" t="s">
        <v>32</v>
      </c>
      <c r="C6" s="16" t="e">
        <f>'2 Aggregate System'!#REF!</f>
        <v>#REF!</v>
      </c>
      <c r="D6" s="16" t="e">
        <f>'2 Aggregate System'!#REF!</f>
        <v>#REF!</v>
      </c>
      <c r="E6" s="16">
        <f>'2 Aggregate System'!G24</f>
        <v>0</v>
      </c>
      <c r="F6" s="17"/>
      <c r="G6" s="18" t="e">
        <f>SUM(C6:E6)</f>
        <v>#REF!</v>
      </c>
      <c r="N6" s="11">
        <v>0.75</v>
      </c>
      <c r="O6" s="11">
        <v>1</v>
      </c>
      <c r="P6" s="11">
        <v>1.5</v>
      </c>
      <c r="AB6" s="1368" t="s">
        <v>186</v>
      </c>
      <c r="AC6" s="1368"/>
      <c r="AD6" s="1368"/>
      <c r="AE6" s="1368"/>
      <c r="AF6" s="1368"/>
      <c r="AH6" s="1365" t="s">
        <v>187</v>
      </c>
      <c r="AI6" s="1365"/>
      <c r="AJ6" s="1364" t="s">
        <v>231</v>
      </c>
      <c r="AK6" s="1364"/>
      <c r="AN6" s="1360" t="s">
        <v>397</v>
      </c>
      <c r="AO6" s="1361"/>
      <c r="AP6" s="1361"/>
      <c r="AQ6" s="1361"/>
      <c r="AR6" s="1362"/>
      <c r="AV6" s="1356" t="s">
        <v>187</v>
      </c>
      <c r="AW6" s="1357"/>
      <c r="AX6" s="1358" t="s">
        <v>231</v>
      </c>
      <c r="AY6" s="1359"/>
    </row>
    <row r="7" spans="1:51" ht="16.5" thickBot="1" x14ac:dyDescent="0.3">
      <c r="N7" s="11"/>
      <c r="O7" s="11"/>
      <c r="P7" s="11"/>
      <c r="AB7" s="23" t="s">
        <v>158</v>
      </c>
      <c r="AC7" s="58" t="s">
        <v>159</v>
      </c>
      <c r="AD7" s="23" t="s">
        <v>176</v>
      </c>
      <c r="AE7" s="23" t="s">
        <v>177</v>
      </c>
      <c r="AF7" s="23" t="s">
        <v>178</v>
      </c>
      <c r="AH7" s="1" t="s">
        <v>177</v>
      </c>
      <c r="AI7" s="1" t="s">
        <v>178</v>
      </c>
      <c r="AJ7" s="1" t="s">
        <v>230</v>
      </c>
      <c r="AM7" s="733"/>
      <c r="AN7" s="530" t="s">
        <v>158</v>
      </c>
      <c r="AO7" s="530" t="s">
        <v>159</v>
      </c>
      <c r="AP7" s="530" t="s">
        <v>176</v>
      </c>
      <c r="AQ7" s="530" t="s">
        <v>177</v>
      </c>
      <c r="AR7" s="530" t="s">
        <v>178</v>
      </c>
      <c r="AS7" s="23" t="s">
        <v>398</v>
      </c>
      <c r="AT7" s="23" t="s">
        <v>604</v>
      </c>
      <c r="AV7" s="786" t="s">
        <v>177</v>
      </c>
      <c r="AW7" s="11" t="s">
        <v>178</v>
      </c>
      <c r="AX7" s="11" t="s">
        <v>230</v>
      </c>
      <c r="AY7" s="787"/>
    </row>
    <row r="8" spans="1:51" ht="47.25" x14ac:dyDescent="0.25">
      <c r="B8" s="19"/>
      <c r="C8" s="20" t="str">
        <f>'6 Agg Analysis'!B25</f>
        <v>Sieve:</v>
      </c>
      <c r="D8" s="20" t="str">
        <f>'6 Agg Analysis'!C25</f>
        <v>mm</v>
      </c>
      <c r="E8" s="20" t="str">
        <f>'6 Agg Analysis'!D25</f>
        <v>^45</v>
      </c>
      <c r="F8" s="20" t="str">
        <f>'6 Agg Analysis'!E25</f>
        <v>Mixture</v>
      </c>
      <c r="G8" s="20" t="s">
        <v>86</v>
      </c>
      <c r="H8" s="21" t="s">
        <v>87</v>
      </c>
      <c r="I8" s="11"/>
      <c r="N8" s="11">
        <v>100</v>
      </c>
      <c r="O8" s="11">
        <v>100</v>
      </c>
      <c r="P8" s="11">
        <v>100</v>
      </c>
      <c r="AA8" s="752" t="s">
        <v>33</v>
      </c>
      <c r="AB8" s="27">
        <f>IF('2 Aggregate System'!B26=0,0,(100-'2 Aggregate System'!B26))</f>
        <v>0</v>
      </c>
      <c r="AC8" s="62">
        <f>IF('2 Aggregate System'!C26=0,0,(100-'2 Aggregate System'!C26))</f>
        <v>0</v>
      </c>
      <c r="AD8" s="27">
        <f>IF('2 Aggregate System'!D26=0,0,(100-'2 Aggregate System'!D26))</f>
        <v>0</v>
      </c>
      <c r="AE8" s="27">
        <f>IF('2 Aggregate System'!E26=0,0,(100-'2 Aggregate System'!E26))</f>
        <v>0</v>
      </c>
      <c r="AF8" s="27">
        <f>IF('2 Aggregate System'!F26=0,0,(100-'2 Aggregate System'!F26))</f>
        <v>0</v>
      </c>
      <c r="AH8" s="6">
        <f>AE8</f>
        <v>0</v>
      </c>
      <c r="AI8" s="6">
        <f>AF8</f>
        <v>0</v>
      </c>
      <c r="AJ8" s="6" t="e">
        <f>(($AC$29/SUM($AC$29:$AC$30))*AE8+($AC$30/SUM($AC$29:$AC$30)*AF8))</f>
        <v>#DIV/0!</v>
      </c>
      <c r="AK8" s="6" t="e">
        <f>AJ8</f>
        <v>#DIV/0!</v>
      </c>
      <c r="AM8" s="531" t="s">
        <v>33</v>
      </c>
      <c r="AN8" s="532" t="str">
        <f>IF('2 Aggregate System'!B26=0,"-",(($AP$41/100)*'2 Aggregate System'!B26))</f>
        <v>-</v>
      </c>
      <c r="AO8" s="532" t="str">
        <f>IF('2 Aggregate System'!C26=0,"-",(($AP$42/100)*'2 Aggregate System'!C26))</f>
        <v>-</v>
      </c>
      <c r="AP8" s="532" t="str">
        <f>IF('2 Aggregate System'!D26=0,"-",(($AP$43/100)*'2 Aggregate System'!D26))</f>
        <v>-</v>
      </c>
      <c r="AQ8" s="532" t="str">
        <f>IF('2 Aggregate System'!E26=0,"-",(($AP$44/100)*'2 Aggregate System'!E26))</f>
        <v>-</v>
      </c>
      <c r="AR8" s="532" t="str">
        <f>IF('2 Aggregate System'!F26=0,"-",(($AP$45/100)*'2 Aggregate System'!F26))</f>
        <v>-</v>
      </c>
      <c r="AS8" s="27">
        <f t="shared" ref="AS8:AS20" si="0">SUM(AN8:AR8)</f>
        <v>0</v>
      </c>
      <c r="AT8" s="27">
        <f>100-AS8</f>
        <v>100</v>
      </c>
      <c r="AV8" s="788">
        <f>AE8</f>
        <v>0</v>
      </c>
      <c r="AW8" s="785">
        <f>AF8</f>
        <v>0</v>
      </c>
      <c r="AX8" s="785" t="e">
        <f t="shared" ref="AX8:AX19" si="1">AE8*($AM$44/$AM$47)+AF8*($AM$45/$AM$47)</f>
        <v>#DIV/0!</v>
      </c>
      <c r="AY8" s="789" t="e">
        <f>AX8</f>
        <v>#DIV/0!</v>
      </c>
    </row>
    <row r="9" spans="1:51" x14ac:dyDescent="0.25">
      <c r="C9" s="22"/>
      <c r="D9" s="22"/>
      <c r="E9" s="22"/>
      <c r="F9" s="22"/>
      <c r="G9" s="22"/>
      <c r="H9" s="22"/>
      <c r="I9" s="22"/>
      <c r="N9" s="11">
        <v>100</v>
      </c>
      <c r="O9" s="11">
        <v>100</v>
      </c>
      <c r="P9" s="11">
        <v>100</v>
      </c>
      <c r="AA9" s="28" t="s">
        <v>34</v>
      </c>
      <c r="AB9" s="27">
        <f>IF('2 Aggregate System'!B27=0,0,('2 Aggregate System'!B26-'2 Aggregate System'!B27))</f>
        <v>0</v>
      </c>
      <c r="AC9" s="62">
        <f>IF('2 Aggregate System'!C27=0,0,('2 Aggregate System'!C26-'2 Aggregate System'!C27))</f>
        <v>0</v>
      </c>
      <c r="AD9" s="27">
        <f>IF('2 Aggregate System'!D27=0,0,('2 Aggregate System'!D26-'2 Aggregate System'!D27))</f>
        <v>0</v>
      </c>
      <c r="AE9" s="27">
        <f>IF('2 Aggregate System'!E27=0,0,('2 Aggregate System'!E26-'2 Aggregate System'!E27))</f>
        <v>0</v>
      </c>
      <c r="AF9" s="27">
        <f>IF('2 Aggregate System'!F27=0,0,('2 Aggregate System'!F26-'2 Aggregate System'!F27))</f>
        <v>0</v>
      </c>
      <c r="AH9" s="6">
        <f>SUM(AE8:AE9)</f>
        <v>0</v>
      </c>
      <c r="AI9" s="6">
        <f t="shared" ref="AI9:AI11" si="2">AF9</f>
        <v>0</v>
      </c>
      <c r="AJ9" s="6" t="e">
        <f t="shared" ref="AJ9:AJ11" si="3">(($AC$29/SUM($AC$29:$AC$30))*AE9+($AC$30/SUM($AC$29:$AC$30)*AF9))</f>
        <v>#DIV/0!</v>
      </c>
      <c r="AK9" s="6" t="e">
        <f>SUM(AJ8:AJ9)</f>
        <v>#DIV/0!</v>
      </c>
      <c r="AM9" s="533" t="s">
        <v>34</v>
      </c>
      <c r="AN9" s="532" t="str">
        <f>IF('2 Aggregate System'!B27=0,"-",(($AP$41/100)*'2 Aggregate System'!B27))</f>
        <v>-</v>
      </c>
      <c r="AO9" s="532" t="str">
        <f>IF('2 Aggregate System'!C27=0,"-",(($AP$42/100)*'2 Aggregate System'!C27))</f>
        <v>-</v>
      </c>
      <c r="AP9" s="532" t="str">
        <f>IF('2 Aggregate System'!D27=0,"-",(($AP$43/100)*'2 Aggregate System'!D27))</f>
        <v>-</v>
      </c>
      <c r="AQ9" s="532" t="str">
        <f>IF('2 Aggregate System'!E27=0,"-",(($AP$44/100)*'2 Aggregate System'!E27))</f>
        <v>-</v>
      </c>
      <c r="AR9" s="532" t="str">
        <f>IF('2 Aggregate System'!F27=0,"-",(($AP$45/100)*'2 Aggregate System'!F27))</f>
        <v>-</v>
      </c>
      <c r="AS9" s="27">
        <f t="shared" si="0"/>
        <v>0</v>
      </c>
      <c r="AT9" s="27">
        <f>AS8-AS9</f>
        <v>0</v>
      </c>
      <c r="AV9" s="788">
        <f>SUM(AE8:AE9)</f>
        <v>0</v>
      </c>
      <c r="AW9" s="785">
        <f>SUM(AF8:AF9)</f>
        <v>0</v>
      </c>
      <c r="AX9" s="785" t="e">
        <f t="shared" si="1"/>
        <v>#DIV/0!</v>
      </c>
      <c r="AY9" s="789" t="e">
        <f>SUM(AX8:AX9)</f>
        <v>#DIV/0!</v>
      </c>
    </row>
    <row r="10" spans="1:51" x14ac:dyDescent="0.25">
      <c r="C10" s="24" t="str">
        <f>'6 Agg Analysis'!B28</f>
        <v>2"</v>
      </c>
      <c r="D10" s="24">
        <f>'6 Agg Analysis'!C28</f>
        <v>50</v>
      </c>
      <c r="E10" s="25">
        <f>'6 Agg Analysis'!D28</f>
        <v>5.8148230317277987</v>
      </c>
      <c r="F10" s="26">
        <f>'6 Agg Analysis'!E28</f>
        <v>0</v>
      </c>
      <c r="G10" s="26" t="e">
        <f>HLOOKUP($O$5,$N$6:$P$20,3)</f>
        <v>#REF!</v>
      </c>
      <c r="H10" s="26" t="e">
        <f t="shared" ref="H10:H22" si="4">G10-F10</f>
        <v>#REF!</v>
      </c>
      <c r="I10" s="26" t="e">
        <f>SIGN(H10)*H10</f>
        <v>#REF!</v>
      </c>
      <c r="N10" s="11">
        <v>100</v>
      </c>
      <c r="O10" s="29">
        <v>100</v>
      </c>
      <c r="P10" s="29">
        <f t="shared" ref="P10:P20" si="5">(E12-$E$22)/($E$11-$E$22)*100</f>
        <v>82.238042728011123</v>
      </c>
      <c r="AA10" s="28" t="s">
        <v>35</v>
      </c>
      <c r="AB10" s="27">
        <f>IF('2 Aggregate System'!B28=0,0,('2 Aggregate System'!B27-'2 Aggregate System'!B28))</f>
        <v>0</v>
      </c>
      <c r="AC10" s="62">
        <f>IF('2 Aggregate System'!C28=0,0,('2 Aggregate System'!C27-'2 Aggregate System'!C28))</f>
        <v>0</v>
      </c>
      <c r="AD10" s="27">
        <f>IF('2 Aggregate System'!D28=0,0,('2 Aggregate System'!D27-'2 Aggregate System'!D28))</f>
        <v>0</v>
      </c>
      <c r="AE10" s="27">
        <f>IF('2 Aggregate System'!E28=0,0,('2 Aggregate System'!E27-'2 Aggregate System'!E28))</f>
        <v>0</v>
      </c>
      <c r="AF10" s="27">
        <f>IF('2 Aggregate System'!F28=0,0,('2 Aggregate System'!F27-'2 Aggregate System'!F28))</f>
        <v>0</v>
      </c>
      <c r="AH10" s="6">
        <f>SUM(AE8:AE10)</f>
        <v>0</v>
      </c>
      <c r="AI10" s="6">
        <f t="shared" si="2"/>
        <v>0</v>
      </c>
      <c r="AJ10" s="6" t="e">
        <f t="shared" si="3"/>
        <v>#DIV/0!</v>
      </c>
      <c r="AK10" s="6" t="e">
        <f>SUM(AJ8:AJ10)</f>
        <v>#DIV/0!</v>
      </c>
      <c r="AM10" s="533" t="s">
        <v>35</v>
      </c>
      <c r="AN10" s="532" t="str">
        <f>IF('2 Aggregate System'!B28=0,"-",(($AP$41/100)*'2 Aggregate System'!B28))</f>
        <v>-</v>
      </c>
      <c r="AO10" s="532" t="str">
        <f>IF('2 Aggregate System'!C28=0,"-",(($AP$42/100)*'2 Aggregate System'!C28))</f>
        <v>-</v>
      </c>
      <c r="AP10" s="532" t="str">
        <f>IF('2 Aggregate System'!D28=0,"-",(($AP$43/100)*'2 Aggregate System'!D28))</f>
        <v>-</v>
      </c>
      <c r="AQ10" s="532" t="str">
        <f>IF('2 Aggregate System'!E28=0,"-",(($AP$44/100)*'2 Aggregate System'!E28))</f>
        <v>-</v>
      </c>
      <c r="AR10" s="532" t="str">
        <f>IF('2 Aggregate System'!F28=0,"-",(($AP$45/100)*'2 Aggregate System'!F28))</f>
        <v>-</v>
      </c>
      <c r="AS10" s="27">
        <f t="shared" si="0"/>
        <v>0</v>
      </c>
      <c r="AT10" s="27">
        <f t="shared" ref="AT10:AT20" si="6">AS9-AS10</f>
        <v>0</v>
      </c>
      <c r="AV10" s="788">
        <f>SUM(AE8:AE10)</f>
        <v>0</v>
      </c>
      <c r="AW10" s="785">
        <f>SUM(AF8:AF10)</f>
        <v>0</v>
      </c>
      <c r="AX10" s="785" t="e">
        <f t="shared" si="1"/>
        <v>#DIV/0!</v>
      </c>
      <c r="AY10" s="789" t="e">
        <f>SUM(AX8:AX10)</f>
        <v>#DIV/0!</v>
      </c>
    </row>
    <row r="11" spans="1:51" x14ac:dyDescent="0.25">
      <c r="C11" s="24" t="str">
        <f>'6 Agg Analysis'!B29</f>
        <v>1-1/2"</v>
      </c>
      <c r="D11" s="24">
        <f>'6 Agg Analysis'!C29</f>
        <v>37.5</v>
      </c>
      <c r="E11" s="25">
        <f>'6 Agg Analysis'!D29</f>
        <v>5.1087431744234335</v>
      </c>
      <c r="F11" s="26">
        <f>'6 Agg Analysis'!E29</f>
        <v>0</v>
      </c>
      <c r="G11" s="26" t="e">
        <f>HLOOKUP($O$5,$N$6:$P$20,4)</f>
        <v>#REF!</v>
      </c>
      <c r="H11" s="26" t="e">
        <f t="shared" si="4"/>
        <v>#REF!</v>
      </c>
      <c r="I11" s="26" t="e">
        <f>SIGN(H11)*H11</f>
        <v>#REF!</v>
      </c>
      <c r="N11" s="11">
        <v>100</v>
      </c>
      <c r="O11" s="29">
        <f t="shared" ref="O11:O20" si="7">(E13-$E$22)/($E$12-$E$22)*100</f>
        <v>88.585730958318806</v>
      </c>
      <c r="P11" s="29">
        <f t="shared" si="5"/>
        <v>72.851171276423216</v>
      </c>
      <c r="AA11" s="28" t="s">
        <v>36</v>
      </c>
      <c r="AB11" s="27">
        <f>IF('2 Aggregate System'!B29=0,0,('2 Aggregate System'!B28-'2 Aggregate System'!B29))</f>
        <v>0</v>
      </c>
      <c r="AC11" s="62">
        <f>IF('2 Aggregate System'!C29=0,0,('2 Aggregate System'!C28-'2 Aggregate System'!C29))</f>
        <v>0</v>
      </c>
      <c r="AD11" s="27">
        <f>IF('2 Aggregate System'!D29=0,0,('2 Aggregate System'!D28-'2 Aggregate System'!D29))</f>
        <v>0</v>
      </c>
      <c r="AE11" s="27">
        <f>IF('2 Aggregate System'!E29=0,0,('2 Aggregate System'!E28-'2 Aggregate System'!E29))</f>
        <v>0</v>
      </c>
      <c r="AF11" s="27">
        <f>IF('2 Aggregate System'!F29=0,0,('2 Aggregate System'!F28-'2 Aggregate System'!F29))</f>
        <v>0</v>
      </c>
      <c r="AH11" s="6">
        <f>SUM(AE8:AE11)</f>
        <v>0</v>
      </c>
      <c r="AI11" s="6">
        <f t="shared" si="2"/>
        <v>0</v>
      </c>
      <c r="AJ11" s="6" t="e">
        <f t="shared" si="3"/>
        <v>#DIV/0!</v>
      </c>
      <c r="AK11" s="6" t="e">
        <f>SUM(AJ8:AJ11)</f>
        <v>#DIV/0!</v>
      </c>
      <c r="AM11" s="533" t="s">
        <v>36</v>
      </c>
      <c r="AN11" s="532" t="str">
        <f>IF('2 Aggregate System'!B29=0,"-",(($AP$41/100)*'2 Aggregate System'!B29))</f>
        <v>-</v>
      </c>
      <c r="AO11" s="532" t="str">
        <f>IF('2 Aggregate System'!C29=0,"-",(($AP$42/100)*'2 Aggregate System'!C29))</f>
        <v>-</v>
      </c>
      <c r="AP11" s="532" t="str">
        <f>IF('2 Aggregate System'!D29=0,"-",(($AP$43/100)*'2 Aggregate System'!D29))</f>
        <v>-</v>
      </c>
      <c r="AQ11" s="532" t="str">
        <f>IF('2 Aggregate System'!E29=0,"-",(($AP$44/100)*'2 Aggregate System'!E29))</f>
        <v>-</v>
      </c>
      <c r="AR11" s="532" t="str">
        <f>IF('2 Aggregate System'!F29=0,"-",(($AP$45/100)*'2 Aggregate System'!F29))</f>
        <v>-</v>
      </c>
      <c r="AS11" s="27">
        <f t="shared" si="0"/>
        <v>0</v>
      </c>
      <c r="AT11" s="27">
        <f t="shared" si="6"/>
        <v>0</v>
      </c>
      <c r="AV11" s="788">
        <f>SUM(AE8:AE11)</f>
        <v>0</v>
      </c>
      <c r="AW11" s="785">
        <f>SUM(AF8:AF11)</f>
        <v>0</v>
      </c>
      <c r="AX11" s="785" t="e">
        <f t="shared" si="1"/>
        <v>#DIV/0!</v>
      </c>
      <c r="AY11" s="789" t="e">
        <f>SUM(AX8:AX11)</f>
        <v>#DIV/0!</v>
      </c>
    </row>
    <row r="12" spans="1:51" x14ac:dyDescent="0.25">
      <c r="C12" s="24" t="str">
        <f>'6 Agg Analysis'!B30</f>
        <v>1"</v>
      </c>
      <c r="D12" s="24">
        <f>'6 Agg Analysis'!C30</f>
        <v>25</v>
      </c>
      <c r="E12" s="25">
        <f>'6 Agg Analysis'!D30</f>
        <v>4.2566996126039234</v>
      </c>
      <c r="F12" s="26">
        <f>'6 Agg Analysis'!E30</f>
        <v>0</v>
      </c>
      <c r="G12" s="26" t="e">
        <f>HLOOKUP($O$5,$N$6:$P$20,5)</f>
        <v>#REF!</v>
      </c>
      <c r="H12" s="26" t="e">
        <f t="shared" si="4"/>
        <v>#REF!</v>
      </c>
      <c r="I12" s="26" t="e">
        <f>SIGN(H12)*H12</f>
        <v>#REF!</v>
      </c>
      <c r="N12" s="29">
        <f t="shared" ref="N12:N20" si="8">(E14-$E$22)/($E$13-$E$22)*100</f>
        <v>80.246448516205689</v>
      </c>
      <c r="O12" s="29">
        <f t="shared" si="7"/>
        <v>71.086902986171779</v>
      </c>
      <c r="P12" s="29">
        <f t="shared" si="5"/>
        <v>58.460477651787777</v>
      </c>
      <c r="AA12" s="28" t="s">
        <v>37</v>
      </c>
      <c r="AB12" s="27">
        <f>IF('2 Aggregate System'!B30=0,0,('2 Aggregate System'!B29-'2 Aggregate System'!B30))</f>
        <v>0</v>
      </c>
      <c r="AC12" s="62">
        <f>IF('2 Aggregate System'!C30=0,0,('2 Aggregate System'!C29-'2 Aggregate System'!C30))</f>
        <v>0</v>
      </c>
      <c r="AD12" s="27">
        <f>IF('2 Aggregate System'!D30=0,0,('2 Aggregate System'!D29-'2 Aggregate System'!D30))</f>
        <v>0</v>
      </c>
      <c r="AE12" s="27">
        <f>IF('2 Aggregate System'!E30=0,0,('2 Aggregate System'!E29-'2 Aggregate System'!E30))</f>
        <v>0</v>
      </c>
      <c r="AF12" s="27">
        <f>IF('2 Aggregate System'!F30=0,0,('2 Aggregate System'!F29-'2 Aggregate System'!F30))</f>
        <v>0</v>
      </c>
      <c r="AH12" s="6">
        <f>SUM(AE8:AE12)</f>
        <v>0</v>
      </c>
      <c r="AI12" s="6">
        <f>SUM(AF8:AF12)</f>
        <v>0</v>
      </c>
      <c r="AJ12" s="6" t="e">
        <f t="shared" ref="AJ12:AJ18" si="9">(($AC$29/SUM($AC$29:$AC$30))*AE12+($AC$30/SUM($AC$29:$AC$30)*AF12))</f>
        <v>#DIV/0!</v>
      </c>
      <c r="AK12" s="6" t="e">
        <f>SUM(AJ8:AJ12)</f>
        <v>#DIV/0!</v>
      </c>
      <c r="AM12" s="533" t="s">
        <v>37</v>
      </c>
      <c r="AN12" s="532" t="str">
        <f>IF('2 Aggregate System'!B30=0,"-",(($AP$41/100)*'2 Aggregate System'!B30))</f>
        <v>-</v>
      </c>
      <c r="AO12" s="532" t="str">
        <f>IF('2 Aggregate System'!C30=0,"-",(($AP$42/100)*'2 Aggregate System'!C30))</f>
        <v>-</v>
      </c>
      <c r="AP12" s="532" t="str">
        <f>IF('2 Aggregate System'!D30=0,"-",(($AP$43/100)*'2 Aggregate System'!D30))</f>
        <v>-</v>
      </c>
      <c r="AQ12" s="532" t="str">
        <f>IF('2 Aggregate System'!E30=0,"-",(($AP$44/100)*'2 Aggregate System'!E30))</f>
        <v>-</v>
      </c>
      <c r="AR12" s="532" t="str">
        <f>IF('2 Aggregate System'!F30=0,"-",(($AP$45/100)*'2 Aggregate System'!F30))</f>
        <v>-</v>
      </c>
      <c r="AS12" s="27">
        <f t="shared" si="0"/>
        <v>0</v>
      </c>
      <c r="AT12" s="27">
        <f t="shared" si="6"/>
        <v>0</v>
      </c>
      <c r="AV12" s="788">
        <f>SUM(AE8:AE12)</f>
        <v>0</v>
      </c>
      <c r="AW12" s="785">
        <f>SUM(AF8:AF12)</f>
        <v>0</v>
      </c>
      <c r="AX12" s="785" t="e">
        <f t="shared" si="1"/>
        <v>#DIV/0!</v>
      </c>
      <c r="AY12" s="789" t="e">
        <f>SUM(AX8:AX12)</f>
        <v>#DIV/0!</v>
      </c>
    </row>
    <row r="13" spans="1:51" x14ac:dyDescent="0.25">
      <c r="C13" s="24" t="str">
        <f>'6 Agg Analysis'!B31</f>
        <v>3/4"</v>
      </c>
      <c r="D13" s="24">
        <f>'6 Agg Analysis'!C31</f>
        <v>19.5</v>
      </c>
      <c r="E13" s="25">
        <f>'6 Agg Analysis'!D31</f>
        <v>3.8064100829378442</v>
      </c>
      <c r="F13" s="26">
        <f>'6 Agg Analysis'!E31</f>
        <v>0</v>
      </c>
      <c r="G13" s="26" t="e">
        <f>HLOOKUP($O$5,$N$6:$P$20,6)</f>
        <v>#REF!</v>
      </c>
      <c r="H13" s="26" t="e">
        <f t="shared" si="4"/>
        <v>#REF!</v>
      </c>
      <c r="I13" s="26" t="e">
        <f t="shared" ref="I13:I22" si="10">SIGN(H13)*H13</f>
        <v>#REF!</v>
      </c>
      <c r="N13" s="29">
        <f t="shared" si="8"/>
        <v>69.887493946498353</v>
      </c>
      <c r="O13" s="29">
        <f t="shared" si="7"/>
        <v>61.910347360956365</v>
      </c>
      <c r="P13" s="29">
        <f t="shared" si="5"/>
        <v>50.913857915763408</v>
      </c>
      <c r="AA13" s="28" t="s">
        <v>38</v>
      </c>
      <c r="AB13" s="27">
        <f>IF('2 Aggregate System'!B31=0,0,('2 Aggregate System'!B30-'2 Aggregate System'!B31))</f>
        <v>0</v>
      </c>
      <c r="AC13" s="62">
        <f>IF('2 Aggregate System'!C31=0,0,('2 Aggregate System'!C30-'2 Aggregate System'!C31))</f>
        <v>0</v>
      </c>
      <c r="AD13" s="27">
        <f>IF('2 Aggregate System'!D31=0,0,('2 Aggregate System'!D30-'2 Aggregate System'!D31))</f>
        <v>0</v>
      </c>
      <c r="AE13" s="27">
        <f>IF('2 Aggregate System'!E31=0,0,('2 Aggregate System'!E30-'2 Aggregate System'!E31))</f>
        <v>0</v>
      </c>
      <c r="AF13" s="27">
        <f>IF('2 Aggregate System'!F31=0,0,('2 Aggregate System'!F30-'2 Aggregate System'!F31))</f>
        <v>0</v>
      </c>
      <c r="AH13" s="6">
        <f>SUM(AE8:AE13)</f>
        <v>0</v>
      </c>
      <c r="AI13" s="6">
        <f>SUM(AF8:AF13)</f>
        <v>0</v>
      </c>
      <c r="AJ13" s="6" t="e">
        <f t="shared" si="9"/>
        <v>#DIV/0!</v>
      </c>
      <c r="AK13" s="6" t="e">
        <f>SUM(AJ8:AJ13)</f>
        <v>#DIV/0!</v>
      </c>
      <c r="AM13" s="533" t="s">
        <v>38</v>
      </c>
      <c r="AN13" s="532" t="str">
        <f>IF('2 Aggregate System'!B31=0,"-",(($AP$41/100)*'2 Aggregate System'!B31))</f>
        <v>-</v>
      </c>
      <c r="AO13" s="532" t="str">
        <f>IF('2 Aggregate System'!C31=0,"-",(($AP$42/100)*'2 Aggregate System'!C31))</f>
        <v>-</v>
      </c>
      <c r="AP13" s="532" t="str">
        <f>IF('2 Aggregate System'!D31=0,"-",(($AP$43/100)*'2 Aggregate System'!D31))</f>
        <v>-</v>
      </c>
      <c r="AQ13" s="532" t="str">
        <f>IF('2 Aggregate System'!E31=0,"-",(($AP$44/100)*'2 Aggregate System'!E31))</f>
        <v>-</v>
      </c>
      <c r="AR13" s="532" t="str">
        <f>IF('2 Aggregate System'!F31=0,"-",(($AP$45/100)*'2 Aggregate System'!F31))</f>
        <v>-</v>
      </c>
      <c r="AS13" s="27">
        <f t="shared" si="0"/>
        <v>0</v>
      </c>
      <c r="AT13" s="27">
        <f t="shared" si="6"/>
        <v>0</v>
      </c>
      <c r="AV13" s="788">
        <f>SUM(AE8:AE13)</f>
        <v>0</v>
      </c>
      <c r="AW13" s="785">
        <f>SUM(AF8:AF13)</f>
        <v>0</v>
      </c>
      <c r="AX13" s="785" t="e">
        <f t="shared" si="1"/>
        <v>#DIV/0!</v>
      </c>
      <c r="AY13" s="789" t="e">
        <f>SUM(AX8:AX13)</f>
        <v>#DIV/0!</v>
      </c>
    </row>
    <row r="14" spans="1:51" x14ac:dyDescent="0.25">
      <c r="C14" s="24" t="str">
        <f>'6 Agg Analysis'!B32</f>
        <v>1/2"</v>
      </c>
      <c r="D14" s="24">
        <f>'6 Agg Analysis'!C32</f>
        <v>12.5</v>
      </c>
      <c r="E14" s="25">
        <f>'6 Agg Analysis'!D32</f>
        <v>3.116086507375345</v>
      </c>
      <c r="F14" s="26">
        <f>'6 Agg Analysis'!E32</f>
        <v>0</v>
      </c>
      <c r="G14" s="26" t="e">
        <f>HLOOKUP($O$5,$N$6:$P$20,7)</f>
        <v>#REF!</v>
      </c>
      <c r="H14" s="26" t="e">
        <f t="shared" si="4"/>
        <v>#REF!</v>
      </c>
      <c r="I14" s="26" t="e">
        <f t="shared" si="10"/>
        <v>#REF!</v>
      </c>
      <c r="N14" s="29">
        <f t="shared" si="8"/>
        <v>48.770433705987244</v>
      </c>
      <c r="O14" s="29">
        <f t="shared" si="7"/>
        <v>43.203645189991093</v>
      </c>
      <c r="P14" s="29">
        <f t="shared" si="5"/>
        <v>35.529832191403202</v>
      </c>
      <c r="AA14" s="28" t="s">
        <v>39</v>
      </c>
      <c r="AB14" s="27">
        <f>IF('2 Aggregate System'!B32=0,0,('2 Aggregate System'!B31-'2 Aggregate System'!B32))</f>
        <v>0</v>
      </c>
      <c r="AC14" s="62">
        <f>IF('2 Aggregate System'!C32=0,0,('2 Aggregate System'!C31-'2 Aggregate System'!C32))</f>
        <v>0</v>
      </c>
      <c r="AD14" s="27">
        <f>IF('2 Aggregate System'!D32=0,0,('2 Aggregate System'!D31-'2 Aggregate System'!D32))</f>
        <v>0</v>
      </c>
      <c r="AE14" s="27">
        <f>IF('2 Aggregate System'!E32=0,0,('2 Aggregate System'!E31-'2 Aggregate System'!E32))</f>
        <v>0</v>
      </c>
      <c r="AF14" s="27">
        <f>IF('2 Aggregate System'!F32=0,0,('2 Aggregate System'!F31-'2 Aggregate System'!F32))</f>
        <v>0</v>
      </c>
      <c r="AH14" s="6">
        <f>SUM(AE8:AE14)</f>
        <v>0</v>
      </c>
      <c r="AI14" s="6">
        <f>SUM(AF8:AF14)</f>
        <v>0</v>
      </c>
      <c r="AJ14" s="6" t="e">
        <f t="shared" si="9"/>
        <v>#DIV/0!</v>
      </c>
      <c r="AK14" s="6" t="e">
        <f>SUM(AJ8:AJ14)</f>
        <v>#DIV/0!</v>
      </c>
      <c r="AM14" s="533" t="s">
        <v>39</v>
      </c>
      <c r="AN14" s="532" t="str">
        <f>IF('2 Aggregate System'!B32=0,"-",(($AP$41/100)*'2 Aggregate System'!B32))</f>
        <v>-</v>
      </c>
      <c r="AO14" s="532" t="str">
        <f>IF('2 Aggregate System'!C32=0,"-",(($AP$42/100)*'2 Aggregate System'!C32))</f>
        <v>-</v>
      </c>
      <c r="AP14" s="532" t="str">
        <f>IF('2 Aggregate System'!D32=0,"-",(($AP$43/100)*'2 Aggregate System'!D32))</f>
        <v>-</v>
      </c>
      <c r="AQ14" s="532" t="str">
        <f>IF('2 Aggregate System'!E32=0,"-",(($AP$44/100)*'2 Aggregate System'!E32))</f>
        <v>-</v>
      </c>
      <c r="AR14" s="532" t="str">
        <f>IF('2 Aggregate System'!F32=0,"-",(($AP$45/100)*'2 Aggregate System'!F32))</f>
        <v>-</v>
      </c>
      <c r="AS14" s="27">
        <f t="shared" si="0"/>
        <v>0</v>
      </c>
      <c r="AT14" s="27">
        <f t="shared" si="6"/>
        <v>0</v>
      </c>
      <c r="AV14" s="788">
        <f>SUM(AE8:AE14)</f>
        <v>0</v>
      </c>
      <c r="AW14" s="785">
        <f>SUM(AF8:AF14)</f>
        <v>0</v>
      </c>
      <c r="AX14" s="785" t="e">
        <f t="shared" si="1"/>
        <v>#DIV/0!</v>
      </c>
      <c r="AY14" s="789" t="e">
        <f>SUM(AX8:AX14)</f>
        <v>#DIV/0!</v>
      </c>
    </row>
    <row r="15" spans="1:51" x14ac:dyDescent="0.25">
      <c r="C15" s="24" t="str">
        <f>'6 Agg Analysis'!B33</f>
        <v>3/8"</v>
      </c>
      <c r="D15" s="24">
        <f>'6 Agg Analysis'!C33</f>
        <v>9.5</v>
      </c>
      <c r="E15" s="25">
        <f>'6 Agg Analysis'!D33</f>
        <v>2.754074108566122</v>
      </c>
      <c r="F15" s="26">
        <f>'6 Agg Analysis'!E33</f>
        <v>0</v>
      </c>
      <c r="G15" s="26" t="e">
        <f>HLOOKUP($O$5,$N$6:$P$20,8)</f>
        <v>#REF!</v>
      </c>
      <c r="H15" s="26" t="e">
        <f t="shared" si="4"/>
        <v>#REF!</v>
      </c>
      <c r="I15" s="26" t="e">
        <f t="shared" si="10"/>
        <v>#REF!</v>
      </c>
      <c r="N15" s="29">
        <f t="shared" si="8"/>
        <v>33.191603994266536</v>
      </c>
      <c r="O15" s="29">
        <f t="shared" si="7"/>
        <v>29.403025015111549</v>
      </c>
      <c r="P15" s="29">
        <f t="shared" si="5"/>
        <v>24.180472275255237</v>
      </c>
      <c r="AA15" s="28" t="s">
        <v>40</v>
      </c>
      <c r="AB15" s="27">
        <f>IF('2 Aggregate System'!B33=0,0,('2 Aggregate System'!B32-'2 Aggregate System'!B33))</f>
        <v>0</v>
      </c>
      <c r="AC15" s="62">
        <f>IF('2 Aggregate System'!C33=0,0,('2 Aggregate System'!C32-'2 Aggregate System'!C33))</f>
        <v>0</v>
      </c>
      <c r="AD15" s="27">
        <f>IF('2 Aggregate System'!D33=0,0,('2 Aggregate System'!D32-'2 Aggregate System'!D33))</f>
        <v>0</v>
      </c>
      <c r="AE15" s="27">
        <f>IF('2 Aggregate System'!E33=0,0,('2 Aggregate System'!E32-'2 Aggregate System'!E33))</f>
        <v>0</v>
      </c>
      <c r="AF15" s="27">
        <f>IF('2 Aggregate System'!F33=0,0,('2 Aggregate System'!F32-'2 Aggregate System'!F33))</f>
        <v>0</v>
      </c>
      <c r="AH15" s="6">
        <f>SUM(AE8:AE15)</f>
        <v>0</v>
      </c>
      <c r="AI15" s="6">
        <f>SUM(AF8:AF15)</f>
        <v>0</v>
      </c>
      <c r="AJ15" s="6" t="e">
        <f>(($AC$29/SUM($AC$29:$AC$30))*AE15+($AC$30/SUM($AC$29:$AC$30)*AF15))</f>
        <v>#DIV/0!</v>
      </c>
      <c r="AK15" s="6" t="e">
        <f>SUM(AJ8:AJ15)</f>
        <v>#DIV/0!</v>
      </c>
      <c r="AM15" s="533" t="s">
        <v>40</v>
      </c>
      <c r="AN15" s="532" t="str">
        <f>IF('2 Aggregate System'!B33=0,"-",(($AP$41/100)*'2 Aggregate System'!B33))</f>
        <v>-</v>
      </c>
      <c r="AO15" s="532" t="str">
        <f>IF('2 Aggregate System'!C33=0,"-",(($AP$42/100)*'2 Aggregate System'!C33))</f>
        <v>-</v>
      </c>
      <c r="AP15" s="532" t="str">
        <f>IF('2 Aggregate System'!D33=0,"-",(($AP$43/100)*'2 Aggregate System'!D33))</f>
        <v>-</v>
      </c>
      <c r="AQ15" s="532" t="str">
        <f>IF('2 Aggregate System'!E33=0,"-",(($AP$44/100)*'2 Aggregate System'!E33))</f>
        <v>-</v>
      </c>
      <c r="AR15" s="532" t="str">
        <f>IF('2 Aggregate System'!F33=0,"-",(($AP$45/100)*'2 Aggregate System'!F33))</f>
        <v>-</v>
      </c>
      <c r="AS15" s="27">
        <f t="shared" si="0"/>
        <v>0</v>
      </c>
      <c r="AT15" s="27">
        <f t="shared" si="6"/>
        <v>0</v>
      </c>
      <c r="AV15" s="788">
        <f>SUM(AE8:AE15)</f>
        <v>0</v>
      </c>
      <c r="AW15" s="785">
        <f>SUM(AF8:AF15)</f>
        <v>0</v>
      </c>
      <c r="AX15" s="785" t="e">
        <f t="shared" si="1"/>
        <v>#DIV/0!</v>
      </c>
      <c r="AY15" s="789" t="e">
        <f>SUM(AX8:AX15)</f>
        <v>#DIV/0!</v>
      </c>
    </row>
    <row r="16" spans="1:51" x14ac:dyDescent="0.25">
      <c r="C16" s="24" t="str">
        <f>'6 Agg Analysis'!B34</f>
        <v># 4</v>
      </c>
      <c r="D16" s="24">
        <f>'6 Agg Analysis'!C34</f>
        <v>4.75</v>
      </c>
      <c r="E16" s="25">
        <f>'6 Agg Analysis'!D34</f>
        <v>2.0161002539629291</v>
      </c>
      <c r="F16" s="26">
        <f>'6 Agg Analysis'!E34</f>
        <v>0</v>
      </c>
      <c r="G16" s="26" t="e">
        <f>HLOOKUP($O$5,$N$6:$P$20,9)</f>
        <v>#REF!</v>
      </c>
      <c r="H16" s="26" t="e">
        <f t="shared" si="4"/>
        <v>#REF!</v>
      </c>
      <c r="I16" s="26" t="e">
        <f t="shared" si="10"/>
        <v>#REF!</v>
      </c>
      <c r="N16" s="29">
        <f t="shared" si="8"/>
        <v>21.90746991645856</v>
      </c>
      <c r="O16" s="29">
        <f t="shared" si="7"/>
        <v>19.406892359968605</v>
      </c>
      <c r="P16" s="29">
        <f t="shared" si="5"/>
        <v>15.959848431170112</v>
      </c>
      <c r="AA16" s="28" t="s">
        <v>41</v>
      </c>
      <c r="AB16" s="27">
        <f>IF('2 Aggregate System'!B34=0,0,('2 Aggregate System'!B33-'2 Aggregate System'!B34))</f>
        <v>0</v>
      </c>
      <c r="AC16" s="62">
        <f>IF('2 Aggregate System'!C34=0,0,('2 Aggregate System'!C33-'2 Aggregate System'!C34))</f>
        <v>0</v>
      </c>
      <c r="AD16" s="27">
        <f>IF('2 Aggregate System'!D34=0,0,('2 Aggregate System'!D33-'2 Aggregate System'!D34))</f>
        <v>0</v>
      </c>
      <c r="AE16" s="27">
        <f>IF('2 Aggregate System'!E34=0,0,('2 Aggregate System'!E33-'2 Aggregate System'!E34))</f>
        <v>0</v>
      </c>
      <c r="AF16" s="27">
        <f>IF('2 Aggregate System'!F34=0,0,('2 Aggregate System'!F33-'2 Aggregate System'!F34))</f>
        <v>0</v>
      </c>
      <c r="AH16" s="6">
        <f>SUM(AE8:AE16)</f>
        <v>0</v>
      </c>
      <c r="AI16" s="6">
        <f>SUM(AF8:AF16)</f>
        <v>0</v>
      </c>
      <c r="AJ16" s="6" t="e">
        <f t="shared" si="9"/>
        <v>#DIV/0!</v>
      </c>
      <c r="AK16" s="6" t="e">
        <f>SUM(AJ8:AJ16)</f>
        <v>#DIV/0!</v>
      </c>
      <c r="AM16" s="533" t="s">
        <v>41</v>
      </c>
      <c r="AN16" s="532" t="str">
        <f>IF('2 Aggregate System'!B34=0,"-",(($AP$41/100)*'2 Aggregate System'!B34))</f>
        <v>-</v>
      </c>
      <c r="AO16" s="532" t="str">
        <f>IF('2 Aggregate System'!C34=0,"-",(($AP$42/100)*'2 Aggregate System'!C34))</f>
        <v>-</v>
      </c>
      <c r="AP16" s="532" t="str">
        <f>IF('2 Aggregate System'!D34=0,"-",(($AP$43/100)*'2 Aggregate System'!D34))</f>
        <v>-</v>
      </c>
      <c r="AQ16" s="532" t="str">
        <f>IF('2 Aggregate System'!E34=0,"-",(($AP$44/100)*'2 Aggregate System'!E34))</f>
        <v>-</v>
      </c>
      <c r="AR16" s="532" t="str">
        <f>IF('2 Aggregate System'!F34=0,"-",(($AP$45/100)*'2 Aggregate System'!F34))</f>
        <v>-</v>
      </c>
      <c r="AS16" s="27">
        <f t="shared" si="0"/>
        <v>0</v>
      </c>
      <c r="AT16" s="27">
        <f t="shared" si="6"/>
        <v>0</v>
      </c>
      <c r="AV16" s="788">
        <f>SUM(AE8:AE16)</f>
        <v>0</v>
      </c>
      <c r="AW16" s="785">
        <f>SUM(AF8:AF16)</f>
        <v>0</v>
      </c>
      <c r="AX16" s="785" t="e">
        <f t="shared" si="1"/>
        <v>#DIV/0!</v>
      </c>
      <c r="AY16" s="789" t="e">
        <f>SUM(AX8:AX16)</f>
        <v>#DIV/0!</v>
      </c>
    </row>
    <row r="17" spans="2:51" x14ac:dyDescent="0.25">
      <c r="C17" s="24" t="str">
        <f>'6 Agg Analysis'!B35</f>
        <v># 8</v>
      </c>
      <c r="D17" s="24">
        <f>'6 Agg Analysis'!C35</f>
        <v>2.36</v>
      </c>
      <c r="E17" s="25">
        <f>'6 Agg Analysis'!D35</f>
        <v>1.4716698795820382</v>
      </c>
      <c r="F17" s="26">
        <f>'6 Agg Analysis'!E35</f>
        <v>0</v>
      </c>
      <c r="G17" s="26" t="e">
        <f>HLOOKUP($O$5,$N$6:$P$20,10)</f>
        <v>#REF!</v>
      </c>
      <c r="H17" s="26" t="e">
        <f t="shared" si="4"/>
        <v>#REF!</v>
      </c>
      <c r="I17" s="26" t="e">
        <f t="shared" si="10"/>
        <v>#REF!</v>
      </c>
      <c r="N17" s="29">
        <f t="shared" si="8"/>
        <v>13.818326958807015</v>
      </c>
      <c r="O17" s="29">
        <f t="shared" si="7"/>
        <v>12.24106594266962</v>
      </c>
      <c r="P17" s="29">
        <f t="shared" si="5"/>
        <v>10.066813040296662</v>
      </c>
      <c r="AA17" s="28" t="s">
        <v>42</v>
      </c>
      <c r="AB17" s="27">
        <f>IF('2 Aggregate System'!B35=0,0,('2 Aggregate System'!B34-'2 Aggregate System'!B35))</f>
        <v>0</v>
      </c>
      <c r="AC17" s="62">
        <f>IF('2 Aggregate System'!C35=0,0,('2 Aggregate System'!C34-'2 Aggregate System'!C35))</f>
        <v>0</v>
      </c>
      <c r="AD17" s="27">
        <f>IF('2 Aggregate System'!D35=0,0,('2 Aggregate System'!D34-'2 Aggregate System'!D35))</f>
        <v>0</v>
      </c>
      <c r="AE17" s="27">
        <f>IF('2 Aggregate System'!E35=0,0,('2 Aggregate System'!E34-'2 Aggregate System'!E35))</f>
        <v>0</v>
      </c>
      <c r="AF17" s="27">
        <f>IF('2 Aggregate System'!F35=0,0,('2 Aggregate System'!F34-'2 Aggregate System'!F35))</f>
        <v>0</v>
      </c>
      <c r="AH17" s="6">
        <f>SUM(AE8:AE17)</f>
        <v>0</v>
      </c>
      <c r="AI17" s="6">
        <f>SUM(AF8:AF17)</f>
        <v>0</v>
      </c>
      <c r="AJ17" s="6" t="e">
        <f t="shared" si="9"/>
        <v>#DIV/0!</v>
      </c>
      <c r="AK17" s="6" t="e">
        <f>SUM(AJ8:AJ17)</f>
        <v>#DIV/0!</v>
      </c>
      <c r="AM17" s="533" t="s">
        <v>42</v>
      </c>
      <c r="AN17" s="532" t="str">
        <f>IF('2 Aggregate System'!B35=0,"-",(($AP$41/100)*'2 Aggregate System'!B35))</f>
        <v>-</v>
      </c>
      <c r="AO17" s="532" t="str">
        <f>IF('2 Aggregate System'!C35=0,"-",(($AP$42/100)*'2 Aggregate System'!C35))</f>
        <v>-</v>
      </c>
      <c r="AP17" s="532" t="str">
        <f>IF('2 Aggregate System'!D35=0,"-",(($AP$43/100)*'2 Aggregate System'!D35))</f>
        <v>-</v>
      </c>
      <c r="AQ17" s="532" t="str">
        <f>IF('2 Aggregate System'!E35=0,"-",(($AP$44/100)*'2 Aggregate System'!E35))</f>
        <v>-</v>
      </c>
      <c r="AR17" s="532" t="str">
        <f>IF('2 Aggregate System'!F35=0,"-",(($AP$45/100)*'2 Aggregate System'!F35))</f>
        <v>-</v>
      </c>
      <c r="AS17" s="27">
        <f t="shared" si="0"/>
        <v>0</v>
      </c>
      <c r="AT17" s="27">
        <f t="shared" si="6"/>
        <v>0</v>
      </c>
      <c r="AV17" s="788">
        <f>SUM(AE8:AE17)</f>
        <v>0</v>
      </c>
      <c r="AW17" s="785">
        <f>SUM(AF8:AF17)</f>
        <v>0</v>
      </c>
      <c r="AX17" s="785" t="e">
        <f t="shared" si="1"/>
        <v>#DIV/0!</v>
      </c>
      <c r="AY17" s="789" t="e">
        <f>SUM(AX8:AX17)</f>
        <v>#DIV/0!</v>
      </c>
    </row>
    <row r="18" spans="2:51" x14ac:dyDescent="0.25">
      <c r="C18" s="24" t="str">
        <f>'6 Agg Analysis'!B36</f>
        <v># 16</v>
      </c>
      <c r="D18" s="24">
        <f>'6 Agg Analysis'!C36</f>
        <v>1.18</v>
      </c>
      <c r="E18" s="25">
        <f>'6 Agg Analysis'!D36</f>
        <v>1.0773254099250416</v>
      </c>
      <c r="F18" s="26">
        <f>'6 Agg Analysis'!E36</f>
        <v>0</v>
      </c>
      <c r="G18" s="26" t="e">
        <f>HLOOKUP($O$5,$N$6:$P$20,11)</f>
        <v>#REF!</v>
      </c>
      <c r="H18" s="26" t="e">
        <f t="shared" si="4"/>
        <v>#REF!</v>
      </c>
      <c r="I18" s="26" t="e">
        <f t="shared" si="10"/>
        <v>#REF!</v>
      </c>
      <c r="N18" s="29">
        <f t="shared" si="8"/>
        <v>7.7254010208544814</v>
      </c>
      <c r="O18" s="29">
        <f t="shared" si="7"/>
        <v>6.843602963785365</v>
      </c>
      <c r="P18" s="29">
        <f t="shared" si="5"/>
        <v>5.6280451294932448</v>
      </c>
      <c r="AA18" s="28" t="s">
        <v>43</v>
      </c>
      <c r="AB18" s="27">
        <f>IF('2 Aggregate System'!B36=0,0,('2 Aggregate System'!B35-'2 Aggregate System'!B36))</f>
        <v>0</v>
      </c>
      <c r="AC18" s="62">
        <f>IF('2 Aggregate System'!C36=0,0,('2 Aggregate System'!C35-'2 Aggregate System'!C36))</f>
        <v>0</v>
      </c>
      <c r="AD18" s="27">
        <f>IF('2 Aggregate System'!D36=0,0,('2 Aggregate System'!D35-'2 Aggregate System'!D36))</f>
        <v>0</v>
      </c>
      <c r="AE18" s="27">
        <f>IF('2 Aggregate System'!E36=0,0,('2 Aggregate System'!E35-'2 Aggregate System'!E36))</f>
        <v>0</v>
      </c>
      <c r="AF18" s="27">
        <f>IF('2 Aggregate System'!F36=0,0,('2 Aggregate System'!F35-'2 Aggregate System'!F36))</f>
        <v>0</v>
      </c>
      <c r="AH18" s="6">
        <f>SUM(AE8:AE18)</f>
        <v>0</v>
      </c>
      <c r="AI18" s="6">
        <f>SUM(AF8:AF18)</f>
        <v>0</v>
      </c>
      <c r="AJ18" s="6" t="e">
        <f t="shared" si="9"/>
        <v>#DIV/0!</v>
      </c>
      <c r="AK18" s="6" t="e">
        <f>SUM(AJ8:AJ18)</f>
        <v>#DIV/0!</v>
      </c>
      <c r="AM18" s="533" t="s">
        <v>43</v>
      </c>
      <c r="AN18" s="532" t="str">
        <f>IF('2 Aggregate System'!B36=0,"-",(($AP$41/100)*'2 Aggregate System'!B36))</f>
        <v>-</v>
      </c>
      <c r="AO18" s="532" t="str">
        <f>IF('2 Aggregate System'!C36=0,"-",(($AP$42/100)*'2 Aggregate System'!C36))</f>
        <v>-</v>
      </c>
      <c r="AP18" s="532" t="str">
        <f>IF('2 Aggregate System'!D36=0,"-",(($AP$43/100)*'2 Aggregate System'!D36))</f>
        <v>-</v>
      </c>
      <c r="AQ18" s="532" t="str">
        <f>IF('2 Aggregate System'!E36=0,"-",(($AP$44/100)*'2 Aggregate System'!E36))</f>
        <v>-</v>
      </c>
      <c r="AR18" s="532" t="str">
        <f>IF('2 Aggregate System'!F36=0,"-",(($AP$45/100)*'2 Aggregate System'!F36))</f>
        <v>-</v>
      </c>
      <c r="AS18" s="27">
        <f t="shared" si="0"/>
        <v>0</v>
      </c>
      <c r="AT18" s="27">
        <f t="shared" si="6"/>
        <v>0</v>
      </c>
      <c r="AV18" s="788">
        <f>SUM(AE8:AE18)</f>
        <v>0</v>
      </c>
      <c r="AW18" s="785">
        <f>SUM(AF8:AF18)</f>
        <v>0</v>
      </c>
      <c r="AX18" s="785" t="e">
        <f t="shared" si="1"/>
        <v>#DIV/0!</v>
      </c>
      <c r="AY18" s="789" t="e">
        <f>SUM(AX8:AX18)</f>
        <v>#DIV/0!</v>
      </c>
    </row>
    <row r="19" spans="2:51" x14ac:dyDescent="0.25">
      <c r="C19" s="24" t="str">
        <f>'6 Agg Analysis'!B37</f>
        <v># 30</v>
      </c>
      <c r="D19" s="24">
        <f>'6 Agg Analysis'!C37</f>
        <v>0.6</v>
      </c>
      <c r="E19" s="25">
        <f>'6 Agg Analysis'!D37</f>
        <v>0.79463568224020453</v>
      </c>
      <c r="F19" s="26">
        <f>'6 Agg Analysis'!E37</f>
        <v>0</v>
      </c>
      <c r="G19" s="26" t="e">
        <f>HLOOKUP($O$5,$N$6:$P$20,12)</f>
        <v>#REF!</v>
      </c>
      <c r="H19" s="26" t="e">
        <f t="shared" si="4"/>
        <v>#REF!</v>
      </c>
      <c r="I19" s="26" t="e">
        <f t="shared" si="10"/>
        <v>#REF!</v>
      </c>
      <c r="N19" s="29">
        <f t="shared" si="8"/>
        <v>3.2651181647482868</v>
      </c>
      <c r="O19" s="29">
        <f t="shared" si="7"/>
        <v>2.8924287928951138</v>
      </c>
      <c r="P19" s="29">
        <f t="shared" si="5"/>
        <v>2.3786768265783804</v>
      </c>
      <c r="AA19" s="28" t="s">
        <v>44</v>
      </c>
      <c r="AB19" s="27">
        <f>IF('2 Aggregate System'!B37=0,0,('2 Aggregate System'!B36-'2 Aggregate System'!B37))</f>
        <v>0</v>
      </c>
      <c r="AC19" s="62">
        <f>IF('2 Aggregate System'!C37=0,0,('2 Aggregate System'!C36-'2 Aggregate System'!C37))</f>
        <v>0</v>
      </c>
      <c r="AD19" s="27">
        <f>IF('2 Aggregate System'!D37=0,0,('2 Aggregate System'!D36-'2 Aggregate System'!D37))</f>
        <v>0</v>
      </c>
      <c r="AE19" s="27">
        <f>IF('2 Aggregate System'!E37=0,0,('2 Aggregate System'!E36-'2 Aggregate System'!E37))</f>
        <v>0</v>
      </c>
      <c r="AF19" s="27">
        <f>IF('2 Aggregate System'!F37=0,0,('2 Aggregate System'!F36-'2 Aggregate System'!F37))</f>
        <v>0</v>
      </c>
      <c r="AH19" s="6">
        <f>SUM(AE8:AE19)</f>
        <v>0</v>
      </c>
      <c r="AI19" s="6">
        <f>SUM(AF8:AF19)</f>
        <v>0</v>
      </c>
      <c r="AJ19" s="6" t="e">
        <f>(($AC$29/SUM($AC$29:$AC$30))*AE19+($AC$30/SUM($AC$29:$AC$30)*AF19))</f>
        <v>#DIV/0!</v>
      </c>
      <c r="AK19" s="6" t="e">
        <f>SUM(AJ8:AJ19)</f>
        <v>#DIV/0!</v>
      </c>
      <c r="AM19" s="533" t="s">
        <v>44</v>
      </c>
      <c r="AN19" s="532" t="str">
        <f>IF('2 Aggregate System'!B37=0,"-",(($AP$41/100)*'2 Aggregate System'!B37))</f>
        <v>-</v>
      </c>
      <c r="AO19" s="532" t="str">
        <f>IF('2 Aggregate System'!C37=0,"-",(($AP$42/100)*'2 Aggregate System'!C37))</f>
        <v>-</v>
      </c>
      <c r="AP19" s="532" t="str">
        <f>IF('2 Aggregate System'!D37=0,"-",(($AP$43/100)*'2 Aggregate System'!D37))</f>
        <v>-</v>
      </c>
      <c r="AQ19" s="532" t="str">
        <f>IF('2 Aggregate System'!E37=0,"-",(($AP$44/100)*'2 Aggregate System'!E37))</f>
        <v>-</v>
      </c>
      <c r="AR19" s="532" t="str">
        <f>IF('2 Aggregate System'!F37=0,"-",(($AP$45/100)*'2 Aggregate System'!F37))</f>
        <v>-</v>
      </c>
      <c r="AS19" s="27">
        <f t="shared" si="0"/>
        <v>0</v>
      </c>
      <c r="AT19" s="27">
        <f t="shared" si="6"/>
        <v>0</v>
      </c>
      <c r="AV19" s="788">
        <f>SUM(AE8:AE19)</f>
        <v>0</v>
      </c>
      <c r="AW19" s="785">
        <f>SUM(AF8:AF19)</f>
        <v>0</v>
      </c>
      <c r="AX19" s="785" t="e">
        <f t="shared" si="1"/>
        <v>#DIV/0!</v>
      </c>
      <c r="AY19" s="789" t="e">
        <f>SUM(AX8:AX19)</f>
        <v>#DIV/0!</v>
      </c>
    </row>
    <row r="20" spans="2:51" ht="16.5" thickBot="1" x14ac:dyDescent="0.3">
      <c r="C20" s="24" t="str">
        <f>'6 Agg Analysis'!B38</f>
        <v># 50</v>
      </c>
      <c r="D20" s="24">
        <f>'6 Agg Analysis'!C38</f>
        <v>0.3</v>
      </c>
      <c r="E20" s="25">
        <f>'6 Agg Analysis'!D38</f>
        <v>0.58170736792793831</v>
      </c>
      <c r="F20" s="26">
        <f>'6 Agg Analysis'!E38</f>
        <v>0</v>
      </c>
      <c r="G20" s="26" t="e">
        <f>HLOOKUP($O$5,$N$6:$P$20,13)</f>
        <v>#REF!</v>
      </c>
      <c r="H20" s="26" t="e">
        <f t="shared" si="4"/>
        <v>#REF!</v>
      </c>
      <c r="I20" s="26" t="e">
        <f t="shared" si="10"/>
        <v>#REF!</v>
      </c>
      <c r="N20" s="29">
        <f t="shared" si="8"/>
        <v>0</v>
      </c>
      <c r="O20" s="29">
        <f t="shared" si="7"/>
        <v>0</v>
      </c>
      <c r="P20" s="29">
        <f t="shared" si="5"/>
        <v>0</v>
      </c>
      <c r="AA20" s="33" t="s">
        <v>45</v>
      </c>
      <c r="AB20" s="34">
        <f>IF('2 Aggregate System'!B38=0,0,('2 Aggregate System'!B37-'2 Aggregate System'!B38))</f>
        <v>0</v>
      </c>
      <c r="AC20" s="71">
        <f>IF('2 Aggregate System'!C38=0,0,('2 Aggregate System'!C37-'2 Aggregate System'!C38))</f>
        <v>0</v>
      </c>
      <c r="AD20" s="34">
        <f>IF('2 Aggregate System'!D38=0,0,('2 Aggregate System'!D37-'2 Aggregate System'!D38))</f>
        <v>0</v>
      </c>
      <c r="AE20" s="34">
        <f>IF('2 Aggregate System'!E38=0,0,('2 Aggregate System'!E37-'2 Aggregate System'!E38))</f>
        <v>0</v>
      </c>
      <c r="AF20" s="34">
        <f>IF('2 Aggregate System'!F38=0,0,('2 Aggregate System'!F37-'2 Aggregate System'!F38))</f>
        <v>0</v>
      </c>
      <c r="AH20" s="6">
        <f>SUM(AH13:AH19)/100</f>
        <v>0</v>
      </c>
      <c r="AI20" s="6">
        <f>SUM(AI13:AI19)/100</f>
        <v>0</v>
      </c>
      <c r="AJ20" s="6"/>
      <c r="AK20" s="5" t="e">
        <f>SUM(AK13:AK19)/100</f>
        <v>#DIV/0!</v>
      </c>
      <c r="AM20" s="534" t="s">
        <v>45</v>
      </c>
      <c r="AN20" s="535" t="str">
        <f>IF('2 Aggregate System'!B38=0,"-",(($AP$41/100)*'2 Aggregate System'!B38))</f>
        <v>-</v>
      </c>
      <c r="AO20" s="535" t="str">
        <f>IF('2 Aggregate System'!C38=0,"-",(($AP$42/100)*'2 Aggregate System'!C38))</f>
        <v>-</v>
      </c>
      <c r="AP20" s="535" t="str">
        <f>IF('2 Aggregate System'!D38="","-",(($AP$43/100)*'2 Aggregate System'!D38))</f>
        <v>-</v>
      </c>
      <c r="AQ20" s="535" t="str">
        <f>IF('2 Aggregate System'!E38=0,"-",(($AP$44/100)*'2 Aggregate System'!E38))</f>
        <v>-</v>
      </c>
      <c r="AR20" s="535" t="str">
        <f>IF('2 Aggregate System'!F38=0,"-",(($AP$45/100)*'2 Aggregate System'!F38))</f>
        <v>-</v>
      </c>
      <c r="AS20" s="34">
        <f t="shared" si="0"/>
        <v>0</v>
      </c>
      <c r="AT20" s="34">
        <f t="shared" si="6"/>
        <v>0</v>
      </c>
      <c r="AV20" s="790">
        <f>SUM(AV13:AV19)/100</f>
        <v>0</v>
      </c>
      <c r="AW20" s="791">
        <f>SUM(AW13:AW19)/100</f>
        <v>0</v>
      </c>
      <c r="AX20" s="791"/>
      <c r="AY20" s="792" t="e">
        <f>SUM(AY13:AY19)/100</f>
        <v>#DIV/0!</v>
      </c>
    </row>
    <row r="21" spans="2:51" ht="16.5" thickBot="1" x14ac:dyDescent="0.3">
      <c r="C21" s="24" t="str">
        <f>'6 Agg Analysis'!B39</f>
        <v># 100</v>
      </c>
      <c r="D21" s="24">
        <f>'6 Agg Analysis'!C39</f>
        <v>0.15</v>
      </c>
      <c r="E21" s="25">
        <f>'6 Agg Analysis'!D39</f>
        <v>0.42583471830473674</v>
      </c>
      <c r="F21" s="26">
        <f>'6 Agg Analysis'!E39</f>
        <v>0</v>
      </c>
      <c r="G21" s="26" t="e">
        <f>HLOOKUP($O$5,$N$6:$P$20,14)</f>
        <v>#REF!</v>
      </c>
      <c r="H21" s="26" t="e">
        <f t="shared" si="4"/>
        <v>#REF!</v>
      </c>
      <c r="I21" s="26" t="e">
        <f t="shared" si="10"/>
        <v>#REF!</v>
      </c>
      <c r="N21" s="11"/>
      <c r="O21" s="11"/>
      <c r="P21" s="11"/>
      <c r="AK21" s="6"/>
    </row>
    <row r="22" spans="2:51" ht="16.5" thickBot="1" x14ac:dyDescent="0.3">
      <c r="C22" s="30" t="str">
        <f>'6 Agg Analysis'!B40</f>
        <v># 200</v>
      </c>
      <c r="D22" s="30">
        <f>'6 Agg Analysis'!C40</f>
        <v>7.4999999999999997E-2</v>
      </c>
      <c r="E22" s="31">
        <f>'6 Agg Analysis'!D40</f>
        <v>0.31172925995349998</v>
      </c>
      <c r="F22" s="32">
        <f>'6 Agg Analysis'!E40</f>
        <v>0</v>
      </c>
      <c r="G22" s="26" t="e">
        <f>HLOOKUP($O$5,$N$6:$P$20,15)</f>
        <v>#REF!</v>
      </c>
      <c r="H22" s="32" t="e">
        <f t="shared" si="4"/>
        <v>#REF!</v>
      </c>
      <c r="I22" s="32" t="e">
        <f t="shared" si="10"/>
        <v>#REF!</v>
      </c>
      <c r="AM22" s="1360" t="s">
        <v>380</v>
      </c>
      <c r="AN22" s="1361"/>
      <c r="AO22" s="1361"/>
      <c r="AP22" s="1361"/>
      <c r="AQ22" s="1361"/>
      <c r="AR22" s="1362"/>
    </row>
    <row r="23" spans="2:51" ht="16.5" thickBot="1" x14ac:dyDescent="0.3">
      <c r="C23" s="30"/>
      <c r="D23" s="30"/>
      <c r="E23" s="30"/>
      <c r="F23" s="30"/>
      <c r="G23" s="11"/>
      <c r="H23" s="32" t="e">
        <f>SUM(H10:H22)</f>
        <v>#REF!</v>
      </c>
      <c r="I23" s="32" t="e">
        <f>SUM(I10:I22)</f>
        <v>#REF!</v>
      </c>
      <c r="J23" s="35" t="s">
        <v>93</v>
      </c>
      <c r="K23" s="36"/>
      <c r="L23" s="35" t="s">
        <v>94</v>
      </c>
      <c r="M23" s="36"/>
      <c r="N23" s="35" t="s">
        <v>95</v>
      </c>
      <c r="O23" s="36"/>
      <c r="P23" s="35" t="s">
        <v>96</v>
      </c>
      <c r="Q23" s="36"/>
      <c r="R23" s="1369" t="s">
        <v>240</v>
      </c>
      <c r="S23" s="1352"/>
      <c r="T23" s="37"/>
      <c r="U23" s="37"/>
      <c r="AG23" s="11"/>
      <c r="AH23" s="1363" t="s">
        <v>601</v>
      </c>
      <c r="AI23" s="1363"/>
      <c r="AJ23" s="1363"/>
      <c r="AM23" s="548" t="s">
        <v>90</v>
      </c>
      <c r="AN23" s="548" t="s">
        <v>381</v>
      </c>
      <c r="AO23" s="548" t="s">
        <v>382</v>
      </c>
      <c r="AP23" s="548" t="s">
        <v>383</v>
      </c>
      <c r="AQ23" s="548" t="s">
        <v>384</v>
      </c>
      <c r="AR23" s="548" t="s">
        <v>385</v>
      </c>
    </row>
    <row r="24" spans="2:51" x14ac:dyDescent="0.25">
      <c r="J24" s="38"/>
      <c r="K24" s="39"/>
      <c r="L24" s="38"/>
      <c r="M24" s="39"/>
      <c r="N24" s="38"/>
      <c r="O24" s="39"/>
      <c r="P24" s="38"/>
      <c r="Q24" s="39"/>
      <c r="AC24" s="1352" t="s">
        <v>217</v>
      </c>
      <c r="AD24" s="1352"/>
      <c r="AE24" s="1352"/>
      <c r="AG24" s="11"/>
      <c r="AH24" s="11" t="s">
        <v>184</v>
      </c>
      <c r="AI24" s="11" t="s">
        <v>185</v>
      </c>
      <c r="AJ24" s="11"/>
      <c r="AL24" s="531" t="s">
        <v>33</v>
      </c>
      <c r="AM24" s="544">
        <f t="shared" ref="AM24:AM36" si="11">AT8</f>
        <v>100</v>
      </c>
      <c r="AN24" s="546">
        <f>IF(AM24&gt;P26,AM24-P26,0)</f>
        <v>100</v>
      </c>
      <c r="AO24" s="546">
        <f>IF(AN24&gt;Q26,AN24-Q26,0)</f>
        <v>100</v>
      </c>
      <c r="AP24" s="546">
        <v>0</v>
      </c>
      <c r="AQ24" s="544">
        <f>AP24-AM24</f>
        <v>-100</v>
      </c>
      <c r="AR24" s="544">
        <f>AQ24^2</f>
        <v>10000</v>
      </c>
    </row>
    <row r="25" spans="2:51" x14ac:dyDescent="0.25">
      <c r="B25" s="35" t="s">
        <v>30</v>
      </c>
      <c r="C25" s="36" t="s">
        <v>88</v>
      </c>
      <c r="D25" s="22" t="s">
        <v>89</v>
      </c>
      <c r="E25" s="22" t="s">
        <v>90</v>
      </c>
      <c r="F25" s="35" t="s">
        <v>91</v>
      </c>
      <c r="G25" s="36"/>
      <c r="H25" s="35" t="s">
        <v>92</v>
      </c>
      <c r="I25" s="36" t="s">
        <v>92</v>
      </c>
      <c r="J25" s="38"/>
      <c r="K25" s="39"/>
      <c r="L25" s="38"/>
      <c r="M25" s="39"/>
      <c r="N25" s="38"/>
      <c r="O25" s="39"/>
      <c r="P25" s="38"/>
      <c r="Q25" s="39"/>
      <c r="R25" s="1" t="s">
        <v>241</v>
      </c>
      <c r="S25" s="1" t="s">
        <v>242</v>
      </c>
      <c r="AC25" s="1" t="s">
        <v>181</v>
      </c>
      <c r="AD25" s="1" t="s">
        <v>182</v>
      </c>
      <c r="AE25" s="1" t="s">
        <v>183</v>
      </c>
      <c r="AG25" s="776" t="s">
        <v>33</v>
      </c>
      <c r="AH25" s="777" t="e">
        <f>(('2 Aggregate System'!B26*($AE$26/SUM($AE$26:$AE$30)))+('2 Aggregate System'!C26*($AE$27/SUM($AE$26:$AE$30)))+('2 Aggregate System'!D26*($AE$28/SUM($AE$26:$AE$30)))+('2 Aggregate System'!E26*($AE$29/SUM($AE$26:$AE$30)))+('2 Aggregate System'!F26*($AE$30/SUM($AE$26:$AE$30))))/100</f>
        <v>#DIV/0!</v>
      </c>
      <c r="AI25" s="778" t="e">
        <f>1-AH25</f>
        <v>#DIV/0!</v>
      </c>
      <c r="AJ25" s="11" t="e">
        <f>AI25*100</f>
        <v>#DIV/0!</v>
      </c>
      <c r="AL25" s="533" t="s">
        <v>34</v>
      </c>
      <c r="AM25" s="544">
        <f t="shared" si="11"/>
        <v>0</v>
      </c>
      <c r="AN25" s="546">
        <f t="shared" ref="AN25:AN36" si="12">IF(AM25&gt;P27,AM25-P27,0)</f>
        <v>0</v>
      </c>
      <c r="AO25" s="546">
        <f t="shared" ref="AO25:AO36" si="13">IF(AN25&gt;Q27,AN25-Q27,0)</f>
        <v>0</v>
      </c>
      <c r="AP25" s="546">
        <f>AVERAGE(P27:Q27)</f>
        <v>2.5</v>
      </c>
      <c r="AQ25" s="544">
        <f t="shared" ref="AQ25:AQ36" si="14">AP25-AM25</f>
        <v>2.5</v>
      </c>
      <c r="AR25" s="544">
        <f t="shared" ref="AR25:AR36" si="15">AQ25^2</f>
        <v>6.25</v>
      </c>
    </row>
    <row r="26" spans="2:51" x14ac:dyDescent="0.25">
      <c r="B26" s="38"/>
      <c r="C26" s="39"/>
      <c r="D26" s="24"/>
      <c r="E26" s="24"/>
      <c r="F26" s="38"/>
      <c r="G26" s="39"/>
      <c r="H26" s="38" t="s">
        <v>97</v>
      </c>
      <c r="I26" s="39" t="s">
        <v>98</v>
      </c>
      <c r="J26" s="38">
        <v>100</v>
      </c>
      <c r="K26" s="39">
        <v>100</v>
      </c>
      <c r="L26" s="38">
        <v>100</v>
      </c>
      <c r="M26" s="39">
        <v>100</v>
      </c>
      <c r="N26" s="38">
        <v>0</v>
      </c>
      <c r="O26" s="43">
        <f>D28</f>
        <v>5.8148230317277987</v>
      </c>
      <c r="P26" s="44">
        <v>0</v>
      </c>
      <c r="Q26" s="45">
        <v>0</v>
      </c>
      <c r="R26" s="1">
        <v>100</v>
      </c>
      <c r="S26" s="10">
        <v>100</v>
      </c>
      <c r="AB26" s="1" t="s">
        <v>158</v>
      </c>
      <c r="AC26" s="3">
        <f>'4 Mix Design'!D14</f>
        <v>0</v>
      </c>
      <c r="AD26" s="1">
        <f>'2 Aggregate System'!I13</f>
        <v>0</v>
      </c>
      <c r="AE26" s="5">
        <f>IF(AC26=0,0,AC26/(62.4*AD26))</f>
        <v>0</v>
      </c>
      <c r="AG26" s="776" t="s">
        <v>34</v>
      </c>
      <c r="AH26" s="777" t="e">
        <f>(('2 Aggregate System'!B27*($AE$26/SUM($AE$26:$AE$30)))+('2 Aggregate System'!C27*($AE$27/SUM($AE$26:$AE$30)))+('2 Aggregate System'!D27*($AE$28/SUM($AE$26:$AE$30)))+('2 Aggregate System'!E27*($AE$29/SUM($AE$26:$AE$30)))+('2 Aggregate System'!F27*($AE$30/SUM($AE$26:$AE$30))))/100</f>
        <v>#DIV/0!</v>
      </c>
      <c r="AI26" s="778" t="e">
        <f>AH25-AH26</f>
        <v>#DIV/0!</v>
      </c>
      <c r="AJ26" s="11" t="e">
        <f>AI26*100</f>
        <v>#DIV/0!</v>
      </c>
      <c r="AK26" s="5"/>
      <c r="AL26" s="533" t="s">
        <v>35</v>
      </c>
      <c r="AM26" s="544">
        <f t="shared" si="11"/>
        <v>0</v>
      </c>
      <c r="AN26" s="546">
        <f t="shared" si="12"/>
        <v>0</v>
      </c>
      <c r="AO26" s="546">
        <f t="shared" si="13"/>
        <v>0</v>
      </c>
      <c r="AP26" s="546">
        <f t="shared" ref="AP26:AP36" si="16">AVERAGE(P28:Q28)</f>
        <v>8</v>
      </c>
      <c r="AQ26" s="544">
        <f t="shared" si="14"/>
        <v>8</v>
      </c>
      <c r="AR26" s="544">
        <f t="shared" si="15"/>
        <v>64</v>
      </c>
    </row>
    <row r="27" spans="2:51" x14ac:dyDescent="0.25">
      <c r="B27" s="38" t="s">
        <v>99</v>
      </c>
      <c r="C27" s="39">
        <v>75</v>
      </c>
      <c r="D27" s="25">
        <f t="shared" ref="D27:D40" si="17">+C27^0.45</f>
        <v>6.9787488376816533</v>
      </c>
      <c r="E27" s="40"/>
      <c r="F27" s="38"/>
      <c r="G27" s="39"/>
      <c r="H27" s="38"/>
      <c r="I27" s="39"/>
      <c r="J27" s="38">
        <v>100</v>
      </c>
      <c r="K27" s="39">
        <v>100</v>
      </c>
      <c r="L27" s="38">
        <v>100</v>
      </c>
      <c r="M27" s="39">
        <v>100</v>
      </c>
      <c r="N27" s="38"/>
      <c r="O27" s="39"/>
      <c r="P27" s="44">
        <v>5</v>
      </c>
      <c r="Q27" s="45">
        <v>0</v>
      </c>
      <c r="R27" s="1">
        <v>96</v>
      </c>
      <c r="S27" s="10">
        <v>100</v>
      </c>
      <c r="T27" s="10"/>
      <c r="V27" s="10"/>
      <c r="AB27" s="1" t="s">
        <v>159</v>
      </c>
      <c r="AC27" s="3">
        <f>'4 Mix Design'!D15</f>
        <v>0</v>
      </c>
      <c r="AD27" s="1">
        <f>'2 Aggregate System'!I14</f>
        <v>0</v>
      </c>
      <c r="AE27" s="5">
        <f>IF(AC27=0,0,AC27/(62.4*AD27))</f>
        <v>0</v>
      </c>
      <c r="AG27" s="776" t="s">
        <v>35</v>
      </c>
      <c r="AH27" s="777" t="e">
        <f>(('2 Aggregate System'!B28*($AE$26/SUM($AE$26:$AE$30)))+('2 Aggregate System'!C28*($AE$27/SUM($AE$26:$AE$30)))+('2 Aggregate System'!D28*($AE$28/SUM($AE$26:$AE$30)))+('2 Aggregate System'!E28*($AE$29/SUM($AE$26:$AE$30)))+('2 Aggregate System'!F28*($AE$30/SUM($AE$26:$AE$30))))/100</f>
        <v>#DIV/0!</v>
      </c>
      <c r="AI27" s="778" t="e">
        <f t="shared" ref="AI27:AI37" si="18">AH26-AH27</f>
        <v>#DIV/0!</v>
      </c>
      <c r="AJ27" s="11" t="e">
        <f t="shared" ref="AJ27:AJ37" si="19">AI27*100</f>
        <v>#DIV/0!</v>
      </c>
      <c r="AK27" s="5"/>
      <c r="AL27" s="533" t="s">
        <v>36</v>
      </c>
      <c r="AM27" s="544">
        <f t="shared" si="11"/>
        <v>0</v>
      </c>
      <c r="AN27" s="546">
        <f t="shared" si="12"/>
        <v>0</v>
      </c>
      <c r="AO27" s="546">
        <f t="shared" si="13"/>
        <v>0</v>
      </c>
      <c r="AP27" s="546">
        <f t="shared" si="16"/>
        <v>10</v>
      </c>
      <c r="AQ27" s="544">
        <f t="shared" si="14"/>
        <v>10</v>
      </c>
      <c r="AR27" s="544">
        <f t="shared" si="15"/>
        <v>100</v>
      </c>
    </row>
    <row r="28" spans="2:51" x14ac:dyDescent="0.25">
      <c r="B28" s="38" t="s">
        <v>33</v>
      </c>
      <c r="C28" s="39">
        <v>50</v>
      </c>
      <c r="D28" s="25">
        <f t="shared" si="17"/>
        <v>5.8148230317277987</v>
      </c>
      <c r="E28" s="40">
        <f>+'2 Aggregate System'!L27</f>
        <v>0</v>
      </c>
      <c r="F28" s="38"/>
      <c r="G28" s="39"/>
      <c r="H28" s="41">
        <v>100</v>
      </c>
      <c r="I28" s="42">
        <v>100</v>
      </c>
      <c r="J28" s="38">
        <v>100</v>
      </c>
      <c r="K28" s="39">
        <v>100</v>
      </c>
      <c r="L28" s="38">
        <v>100</v>
      </c>
      <c r="M28" s="39">
        <v>100</v>
      </c>
      <c r="N28" s="38">
        <v>0</v>
      </c>
      <c r="O28" s="43">
        <f>D30</f>
        <v>4.2566996126039234</v>
      </c>
      <c r="P28" s="44">
        <v>16</v>
      </c>
      <c r="Q28" s="45">
        <v>0</v>
      </c>
      <c r="R28" s="1">
        <v>70</v>
      </c>
      <c r="S28" s="10">
        <v>99</v>
      </c>
      <c r="T28" s="10"/>
      <c r="V28" s="10"/>
      <c r="W28" s="10"/>
      <c r="X28" s="10"/>
      <c r="AB28" s="1" t="s">
        <v>176</v>
      </c>
      <c r="AC28" s="3">
        <f>'4 Mix Design'!D16</f>
        <v>0</v>
      </c>
      <c r="AD28" s="1">
        <f>'2 Aggregate System'!I15</f>
        <v>0</v>
      </c>
      <c r="AE28" s="5">
        <f>IF(AC28=0,0,AC28/(62.4*AD28))</f>
        <v>0</v>
      </c>
      <c r="AG28" s="776" t="s">
        <v>36</v>
      </c>
      <c r="AH28" s="777" t="e">
        <f>(('2 Aggregate System'!B29*($AE$26/SUM($AE$26:$AE$30)))+('2 Aggregate System'!C29*($AE$27/SUM($AE$26:$AE$30)))+('2 Aggregate System'!D29*($AE$28/SUM($AE$26:$AE$30)))+('2 Aggregate System'!E29*($AE$29/SUM($AE$26:$AE$30)))+('2 Aggregate System'!F29*($AE$30/SUM($AE$26:$AE$30))))/100</f>
        <v>#DIV/0!</v>
      </c>
      <c r="AI28" s="778" t="e">
        <f t="shared" si="18"/>
        <v>#DIV/0!</v>
      </c>
      <c r="AJ28" s="11" t="e">
        <f t="shared" si="19"/>
        <v>#DIV/0!</v>
      </c>
      <c r="AK28" s="5"/>
      <c r="AL28" s="533" t="s">
        <v>37</v>
      </c>
      <c r="AM28" s="544">
        <f t="shared" si="11"/>
        <v>0</v>
      </c>
      <c r="AN28" s="546">
        <f t="shared" si="12"/>
        <v>0</v>
      </c>
      <c r="AO28" s="546">
        <f t="shared" si="13"/>
        <v>0</v>
      </c>
      <c r="AP28" s="546">
        <f t="shared" si="16"/>
        <v>12</v>
      </c>
      <c r="AQ28" s="544">
        <f t="shared" si="14"/>
        <v>12</v>
      </c>
      <c r="AR28" s="544">
        <f t="shared" si="15"/>
        <v>144</v>
      </c>
    </row>
    <row r="29" spans="2:51" x14ac:dyDescent="0.25">
      <c r="B29" s="38" t="s">
        <v>100</v>
      </c>
      <c r="C29" s="39">
        <v>37.5</v>
      </c>
      <c r="D29" s="25">
        <f t="shared" si="17"/>
        <v>5.1087431744234335</v>
      </c>
      <c r="E29" s="40">
        <f>+'2 Aggregate System'!L28</f>
        <v>0</v>
      </c>
      <c r="F29" s="38"/>
      <c r="G29" s="39"/>
      <c r="H29" s="41">
        <v>100</v>
      </c>
      <c r="I29" s="42">
        <v>100</v>
      </c>
      <c r="J29" s="38">
        <v>80</v>
      </c>
      <c r="K29" s="39">
        <v>88</v>
      </c>
      <c r="L29" s="38">
        <v>88</v>
      </c>
      <c r="M29" s="39">
        <v>98</v>
      </c>
      <c r="N29" s="38"/>
      <c r="O29" s="39"/>
      <c r="P29" s="44">
        <v>20</v>
      </c>
      <c r="Q29" s="45">
        <v>0</v>
      </c>
      <c r="R29" s="1">
        <v>55</v>
      </c>
      <c r="S29" s="10">
        <v>96</v>
      </c>
      <c r="T29" s="10"/>
      <c r="V29" s="10"/>
      <c r="W29" s="10"/>
      <c r="X29" s="10"/>
      <c r="AB29" s="1" t="s">
        <v>177</v>
      </c>
      <c r="AC29" s="3">
        <f>'4 Mix Design'!D17</f>
        <v>0</v>
      </c>
      <c r="AD29" s="1">
        <f>'2 Aggregate System'!I16</f>
        <v>0</v>
      </c>
      <c r="AE29" s="5">
        <f>IF(AC29=0,0,AC29/(62.4*AD29))</f>
        <v>0</v>
      </c>
      <c r="AG29" s="776" t="s">
        <v>37</v>
      </c>
      <c r="AH29" s="777" t="e">
        <f>(('2 Aggregate System'!B30*($AE$26/SUM($AE$26:$AE$30)))+('2 Aggregate System'!C30*($AE$27/SUM($AE$26:$AE$30)))+('2 Aggregate System'!D30*($AE$28/SUM($AE$26:$AE$30)))+('2 Aggregate System'!E30*($AE$29/SUM($AE$26:$AE$30)))+('2 Aggregate System'!F30*($AE$30/SUM($AE$26:$AE$30))))/100</f>
        <v>#DIV/0!</v>
      </c>
      <c r="AI29" s="778" t="e">
        <f t="shared" si="18"/>
        <v>#DIV/0!</v>
      </c>
      <c r="AJ29" s="11" t="e">
        <f t="shared" si="19"/>
        <v>#DIV/0!</v>
      </c>
      <c r="AK29" s="5"/>
      <c r="AL29" s="533" t="s">
        <v>38</v>
      </c>
      <c r="AM29" s="544">
        <f t="shared" si="11"/>
        <v>0</v>
      </c>
      <c r="AN29" s="546">
        <f t="shared" si="12"/>
        <v>0</v>
      </c>
      <c r="AO29" s="546">
        <f t="shared" si="13"/>
        <v>0</v>
      </c>
      <c r="AP29" s="546">
        <f t="shared" si="16"/>
        <v>12</v>
      </c>
      <c r="AQ29" s="544">
        <f t="shared" si="14"/>
        <v>12</v>
      </c>
      <c r="AR29" s="544">
        <f t="shared" si="15"/>
        <v>144</v>
      </c>
    </row>
    <row r="30" spans="2:51" x14ac:dyDescent="0.25">
      <c r="B30" s="38" t="s">
        <v>35</v>
      </c>
      <c r="C30" s="39">
        <v>25</v>
      </c>
      <c r="D30" s="25">
        <f t="shared" si="17"/>
        <v>4.2566996126039234</v>
      </c>
      <c r="E30" s="40">
        <f>+'2 Aggregate System'!L29</f>
        <v>0</v>
      </c>
      <c r="F30" s="38"/>
      <c r="G30" s="39">
        <v>0</v>
      </c>
      <c r="H30" s="41">
        <v>100</v>
      </c>
      <c r="I30" s="42">
        <v>100</v>
      </c>
      <c r="J30" s="38">
        <v>63</v>
      </c>
      <c r="K30" s="39">
        <v>75</v>
      </c>
      <c r="L30" s="38">
        <v>66</v>
      </c>
      <c r="M30" s="39">
        <v>86</v>
      </c>
      <c r="N30" s="38">
        <v>0</v>
      </c>
      <c r="O30" s="43">
        <f>D32</f>
        <v>3.116086507375345</v>
      </c>
      <c r="P30" s="44">
        <v>20</v>
      </c>
      <c r="Q30" s="45">
        <v>4</v>
      </c>
      <c r="R30" s="1">
        <v>48</v>
      </c>
      <c r="S30" s="10">
        <v>86</v>
      </c>
      <c r="T30" s="10"/>
      <c r="V30" s="10"/>
      <c r="W30" s="10"/>
      <c r="X30" s="10"/>
      <c r="AB30" s="1" t="s">
        <v>178</v>
      </c>
      <c r="AC30" s="3">
        <f>'4 Mix Design'!D18</f>
        <v>0</v>
      </c>
      <c r="AD30" s="1">
        <f>'2 Aggregate System'!I17</f>
        <v>0</v>
      </c>
      <c r="AE30" s="5">
        <f>IF(AC30=0,0,AC30/(62.4*AD30))</f>
        <v>0</v>
      </c>
      <c r="AG30" s="776" t="s">
        <v>38</v>
      </c>
      <c r="AH30" s="777" t="e">
        <f>(('2 Aggregate System'!B31*($AE$26/SUM($AE$26:$AE$30)))+('2 Aggregate System'!C31*($AE$27/SUM($AE$26:$AE$30)))+('2 Aggregate System'!D31*($AE$28/SUM($AE$26:$AE$30)))+('2 Aggregate System'!E31*($AE$29/SUM($AE$26:$AE$30)))+('2 Aggregate System'!F31*($AE$30/SUM($AE$26:$AE$30))))/100</f>
        <v>#DIV/0!</v>
      </c>
      <c r="AI30" s="778" t="e">
        <f t="shared" si="18"/>
        <v>#DIV/0!</v>
      </c>
      <c r="AJ30" s="11" t="e">
        <f t="shared" si="19"/>
        <v>#DIV/0!</v>
      </c>
      <c r="AK30" s="5"/>
      <c r="AL30" s="533" t="s">
        <v>39</v>
      </c>
      <c r="AM30" s="544">
        <f t="shared" si="11"/>
        <v>0</v>
      </c>
      <c r="AN30" s="546">
        <f t="shared" si="12"/>
        <v>0</v>
      </c>
      <c r="AO30" s="546">
        <f t="shared" si="13"/>
        <v>0</v>
      </c>
      <c r="AP30" s="546">
        <f t="shared" si="16"/>
        <v>12</v>
      </c>
      <c r="AQ30" s="544">
        <f t="shared" si="14"/>
        <v>12</v>
      </c>
      <c r="AR30" s="544">
        <f t="shared" si="15"/>
        <v>144</v>
      </c>
    </row>
    <row r="31" spans="2:51" x14ac:dyDescent="0.25">
      <c r="B31" s="38" t="s">
        <v>36</v>
      </c>
      <c r="C31" s="39">
        <v>19.5</v>
      </c>
      <c r="D31" s="25">
        <f t="shared" si="17"/>
        <v>3.8064100829378442</v>
      </c>
      <c r="E31" s="40">
        <f>+'2 Aggregate System'!L30</f>
        <v>0</v>
      </c>
      <c r="F31" s="38">
        <v>0</v>
      </c>
      <c r="G31" s="39">
        <v>18</v>
      </c>
      <c r="H31" s="41">
        <v>100</v>
      </c>
      <c r="I31" s="42">
        <v>100</v>
      </c>
      <c r="J31" s="38">
        <v>55</v>
      </c>
      <c r="K31" s="39">
        <v>70</v>
      </c>
      <c r="L31" s="38">
        <v>50</v>
      </c>
      <c r="M31" s="39">
        <v>75</v>
      </c>
      <c r="N31" s="38"/>
      <c r="O31" s="39"/>
      <c r="P31" s="44">
        <v>20</v>
      </c>
      <c r="Q31" s="45">
        <v>4</v>
      </c>
      <c r="R31" s="1">
        <v>38</v>
      </c>
      <c r="S31" s="10">
        <v>77</v>
      </c>
      <c r="T31" s="10"/>
      <c r="V31" s="10"/>
      <c r="W31" s="10"/>
      <c r="X31" s="10"/>
      <c r="AB31" s="1" t="s">
        <v>80</v>
      </c>
      <c r="AC31" s="3">
        <f>SUM(AC26:AC30)</f>
        <v>0</v>
      </c>
      <c r="AD31" s="1" t="s">
        <v>80</v>
      </c>
      <c r="AE31" s="10">
        <f>SUM(AE26:AE30)</f>
        <v>0</v>
      </c>
      <c r="AF31" s="10"/>
      <c r="AG31" s="776" t="s">
        <v>39</v>
      </c>
      <c r="AH31" s="777" t="e">
        <f>(('2 Aggregate System'!B32*($AE$26/SUM($AE$26:$AE$30)))+('2 Aggregate System'!C32*($AE$27/SUM($AE$26:$AE$30)))+('2 Aggregate System'!D32*($AE$28/SUM($AE$26:$AE$30)))+('2 Aggregate System'!E32*($AE$29/SUM($AE$26:$AE$30)))+('2 Aggregate System'!F32*($AE$30/SUM($AE$26:$AE$30))))/100</f>
        <v>#DIV/0!</v>
      </c>
      <c r="AI31" s="778" t="e">
        <f t="shared" si="18"/>
        <v>#DIV/0!</v>
      </c>
      <c r="AJ31" s="11" t="e">
        <f t="shared" si="19"/>
        <v>#DIV/0!</v>
      </c>
      <c r="AK31" s="5"/>
      <c r="AL31" s="533" t="s">
        <v>40</v>
      </c>
      <c r="AM31" s="544">
        <f t="shared" si="11"/>
        <v>0</v>
      </c>
      <c r="AN31" s="546">
        <f t="shared" si="12"/>
        <v>0</v>
      </c>
      <c r="AO31" s="546">
        <f t="shared" si="13"/>
        <v>0</v>
      </c>
      <c r="AP31" s="546">
        <f t="shared" si="16"/>
        <v>6</v>
      </c>
      <c r="AQ31" s="544">
        <f t="shared" si="14"/>
        <v>6</v>
      </c>
      <c r="AR31" s="544">
        <f t="shared" si="15"/>
        <v>36</v>
      </c>
    </row>
    <row r="32" spans="2:51" x14ac:dyDescent="0.25">
      <c r="B32" s="38" t="s">
        <v>37</v>
      </c>
      <c r="C32" s="39">
        <v>12.5</v>
      </c>
      <c r="D32" s="25">
        <f t="shared" si="17"/>
        <v>3.116086507375345</v>
      </c>
      <c r="E32" s="40">
        <f>+'2 Aggregate System'!L31</f>
        <v>0</v>
      </c>
      <c r="F32" s="38">
        <v>8</v>
      </c>
      <c r="G32" s="39">
        <v>18</v>
      </c>
      <c r="H32" s="41">
        <v>100</v>
      </c>
      <c r="I32" s="42">
        <v>100</v>
      </c>
      <c r="J32" s="38">
        <v>40</v>
      </c>
      <c r="K32" s="39">
        <v>59</v>
      </c>
      <c r="L32" s="38">
        <v>40</v>
      </c>
      <c r="M32" s="39">
        <v>52</v>
      </c>
      <c r="N32" s="38">
        <v>0</v>
      </c>
      <c r="O32" s="43">
        <f>D34</f>
        <v>2.0161002539629291</v>
      </c>
      <c r="P32" s="44">
        <v>20</v>
      </c>
      <c r="Q32" s="45">
        <v>4</v>
      </c>
      <c r="R32" s="1">
        <v>30</v>
      </c>
      <c r="S32" s="10">
        <v>60</v>
      </c>
      <c r="T32" s="10"/>
      <c r="V32" s="10"/>
      <c r="W32" s="10"/>
      <c r="X32" s="10"/>
      <c r="AA32" s="1352" t="s">
        <v>391</v>
      </c>
      <c r="AB32" s="1352"/>
      <c r="AC32" s="1352"/>
      <c r="AD32" s="1352"/>
      <c r="AE32" s="1352"/>
      <c r="AG32" s="776" t="s">
        <v>40</v>
      </c>
      <c r="AH32" s="777" t="e">
        <f>(('2 Aggregate System'!B33*($AE$26/SUM($AE$26:$AE$30)))+('2 Aggregate System'!C33*($AE$27/SUM($AE$26:$AE$30)))+('2 Aggregate System'!D33*($AE$28/SUM($AE$26:$AE$30)))+('2 Aggregate System'!E33*($AE$29/SUM($AE$26:$AE$30)))+('2 Aggregate System'!F33*($AE$30/SUM($AE$26:$AE$30))))/100</f>
        <v>#DIV/0!</v>
      </c>
      <c r="AI32" s="778" t="e">
        <f t="shared" si="18"/>
        <v>#DIV/0!</v>
      </c>
      <c r="AJ32" s="11" t="e">
        <f t="shared" si="19"/>
        <v>#DIV/0!</v>
      </c>
      <c r="AK32" s="5"/>
      <c r="AL32" s="533" t="s">
        <v>41</v>
      </c>
      <c r="AM32" s="544">
        <f t="shared" si="11"/>
        <v>0</v>
      </c>
      <c r="AN32" s="546">
        <f t="shared" si="12"/>
        <v>0</v>
      </c>
      <c r="AO32" s="546">
        <f t="shared" si="13"/>
        <v>0</v>
      </c>
      <c r="AP32" s="546">
        <f t="shared" si="16"/>
        <v>6</v>
      </c>
      <c r="AQ32" s="544">
        <f t="shared" si="14"/>
        <v>6</v>
      </c>
      <c r="AR32" s="544">
        <f t="shared" si="15"/>
        <v>36</v>
      </c>
    </row>
    <row r="33" spans="2:44" x14ac:dyDescent="0.25">
      <c r="B33" s="38" t="s">
        <v>38</v>
      </c>
      <c r="C33" s="39">
        <v>9.5</v>
      </c>
      <c r="D33" s="25">
        <f t="shared" si="17"/>
        <v>2.754074108566122</v>
      </c>
      <c r="E33" s="40">
        <f>+'2 Aggregate System'!L32</f>
        <v>0</v>
      </c>
      <c r="F33" s="38">
        <v>8</v>
      </c>
      <c r="G33" s="39">
        <v>18</v>
      </c>
      <c r="H33" s="41">
        <v>100</v>
      </c>
      <c r="I33" s="42">
        <v>100</v>
      </c>
      <c r="J33" s="38">
        <v>28</v>
      </c>
      <c r="K33" s="39">
        <v>48</v>
      </c>
      <c r="L33" s="38">
        <v>33</v>
      </c>
      <c r="M33" s="39">
        <v>43</v>
      </c>
      <c r="N33" s="38"/>
      <c r="O33" s="43"/>
      <c r="P33" s="44">
        <v>12</v>
      </c>
      <c r="Q33" s="45">
        <v>0</v>
      </c>
      <c r="R33" s="1">
        <v>25</v>
      </c>
      <c r="S33" s="10">
        <v>53</v>
      </c>
      <c r="T33" s="10"/>
      <c r="V33" s="10"/>
      <c r="W33" s="10"/>
      <c r="X33" s="10"/>
      <c r="AA33" s="1352" t="s">
        <v>195</v>
      </c>
      <c r="AB33" s="1352"/>
      <c r="AD33" s="1352" t="s">
        <v>196</v>
      </c>
      <c r="AE33" s="1352"/>
      <c r="AG33" s="776" t="s">
        <v>41</v>
      </c>
      <c r="AH33" s="777" t="e">
        <f>(('2 Aggregate System'!B34*($AE$26/SUM($AE$26:$AE$30)))+('2 Aggregate System'!C34*($AE$27/SUM($AE$26:$AE$30)))+('2 Aggregate System'!D34*($AE$28/SUM($AE$26:$AE$30)))+('2 Aggregate System'!E34*($AE$29/SUM($AE$26:$AE$30)))+('2 Aggregate System'!F34*($AE$30/SUM($AE$26:$AE$30))))/100</f>
        <v>#DIV/0!</v>
      </c>
      <c r="AI33" s="778" t="e">
        <f t="shared" si="18"/>
        <v>#DIV/0!</v>
      </c>
      <c r="AJ33" s="11" t="e">
        <f t="shared" si="19"/>
        <v>#DIV/0!</v>
      </c>
      <c r="AK33" s="5"/>
      <c r="AL33" s="533" t="s">
        <v>42</v>
      </c>
      <c r="AM33" s="544">
        <f t="shared" si="11"/>
        <v>0</v>
      </c>
      <c r="AN33" s="546">
        <f t="shared" si="12"/>
        <v>0</v>
      </c>
      <c r="AO33" s="546">
        <f t="shared" si="13"/>
        <v>0</v>
      </c>
      <c r="AP33" s="546">
        <f t="shared" si="16"/>
        <v>12</v>
      </c>
      <c r="AQ33" s="544">
        <f t="shared" si="14"/>
        <v>12</v>
      </c>
      <c r="AR33" s="544">
        <f t="shared" si="15"/>
        <v>144</v>
      </c>
    </row>
    <row r="34" spans="2:44" x14ac:dyDescent="0.25">
      <c r="B34" s="38" t="s">
        <v>39</v>
      </c>
      <c r="C34" s="39">
        <v>4.75</v>
      </c>
      <c r="D34" s="25">
        <f t="shared" si="17"/>
        <v>2.0161002539629291</v>
      </c>
      <c r="E34" s="40">
        <f>+'2 Aggregate System'!L33</f>
        <v>0</v>
      </c>
      <c r="F34" s="38">
        <v>8</v>
      </c>
      <c r="G34" s="39">
        <v>18</v>
      </c>
      <c r="H34" s="44">
        <v>95</v>
      </c>
      <c r="I34" s="45">
        <v>100</v>
      </c>
      <c r="J34" s="38">
        <v>18</v>
      </c>
      <c r="K34" s="39">
        <v>35</v>
      </c>
      <c r="L34" s="38">
        <v>25</v>
      </c>
      <c r="M34" s="39">
        <v>35</v>
      </c>
      <c r="N34" s="38">
        <v>0</v>
      </c>
      <c r="O34" s="43">
        <f>D36</f>
        <v>1.0773254099250416</v>
      </c>
      <c r="P34" s="44">
        <v>12</v>
      </c>
      <c r="Q34" s="45">
        <v>0</v>
      </c>
      <c r="R34" s="1">
        <v>20</v>
      </c>
      <c r="S34" s="10">
        <v>44</v>
      </c>
      <c r="T34" s="10"/>
      <c r="V34" s="10"/>
      <c r="W34" s="10"/>
      <c r="X34" s="10"/>
      <c r="AA34" s="46" t="s">
        <v>188</v>
      </c>
      <c r="AB34" s="1" t="e">
        <f>(AE26/$AE$31)*100</f>
        <v>#DIV/0!</v>
      </c>
      <c r="AD34" s="46" t="s">
        <v>188</v>
      </c>
      <c r="AE34" s="1" t="e">
        <f>(AC26/$AC$31)*100</f>
        <v>#DIV/0!</v>
      </c>
      <c r="AG34" s="776" t="s">
        <v>42</v>
      </c>
      <c r="AH34" s="777" t="e">
        <f>(('2 Aggregate System'!B35*($AE$26/SUM($AE$26:$AE$30)))+('2 Aggregate System'!C35*($AE$27/SUM($AE$26:$AE$30)))+('2 Aggregate System'!D35*($AE$28/SUM($AE$26:$AE$30)))+('2 Aggregate System'!E35*($AE$29/SUM($AE$26:$AE$30)))+('2 Aggregate System'!F35*($AE$30/SUM($AE$26:$AE$30))))/100</f>
        <v>#DIV/0!</v>
      </c>
      <c r="AI34" s="778" t="e">
        <f t="shared" si="18"/>
        <v>#DIV/0!</v>
      </c>
      <c r="AJ34" s="11" t="e">
        <f t="shared" si="19"/>
        <v>#DIV/0!</v>
      </c>
      <c r="AK34" s="5"/>
      <c r="AL34" s="533" t="s">
        <v>43</v>
      </c>
      <c r="AM34" s="544">
        <f t="shared" si="11"/>
        <v>0</v>
      </c>
      <c r="AN34" s="546">
        <f t="shared" si="12"/>
        <v>0</v>
      </c>
      <c r="AO34" s="546">
        <f t="shared" si="13"/>
        <v>0</v>
      </c>
      <c r="AP34" s="546">
        <f t="shared" si="16"/>
        <v>12</v>
      </c>
      <c r="AQ34" s="544">
        <f t="shared" si="14"/>
        <v>12</v>
      </c>
      <c r="AR34" s="544">
        <f t="shared" si="15"/>
        <v>144</v>
      </c>
    </row>
    <row r="35" spans="2:44" x14ac:dyDescent="0.25">
      <c r="B35" s="38" t="s">
        <v>40</v>
      </c>
      <c r="C35" s="39">
        <v>2.36</v>
      </c>
      <c r="D35" s="25">
        <f t="shared" si="17"/>
        <v>1.4716698795820382</v>
      </c>
      <c r="E35" s="40">
        <f>+'2 Aggregate System'!L34</f>
        <v>0</v>
      </c>
      <c r="F35" s="38">
        <v>8</v>
      </c>
      <c r="G35" s="39">
        <v>18</v>
      </c>
      <c r="H35" s="44">
        <v>80</v>
      </c>
      <c r="I35" s="45">
        <v>100</v>
      </c>
      <c r="J35" s="38">
        <v>12</v>
      </c>
      <c r="K35" s="39">
        <v>25</v>
      </c>
      <c r="L35" s="38">
        <v>15</v>
      </c>
      <c r="M35" s="39">
        <v>25</v>
      </c>
      <c r="N35" s="38"/>
      <c r="O35" s="43"/>
      <c r="P35" s="44">
        <v>20</v>
      </c>
      <c r="Q35" s="45">
        <v>4</v>
      </c>
      <c r="R35" s="1">
        <v>10</v>
      </c>
      <c r="S35" s="10">
        <v>32</v>
      </c>
      <c r="T35" s="10"/>
      <c r="V35" s="10"/>
      <c r="W35" s="10"/>
      <c r="X35" s="10"/>
      <c r="AA35" s="46" t="s">
        <v>189</v>
      </c>
      <c r="AB35" s="1" t="e">
        <f>(AE27/$AE$31)*100</f>
        <v>#DIV/0!</v>
      </c>
      <c r="AD35" s="46" t="s">
        <v>189</v>
      </c>
      <c r="AE35" s="1" t="e">
        <f>(AC27/$AC$31)*100</f>
        <v>#DIV/0!</v>
      </c>
      <c r="AG35" s="776" t="s">
        <v>43</v>
      </c>
      <c r="AH35" s="777" t="e">
        <f>(('2 Aggregate System'!B36*($AE$26/SUM($AE$26:$AE$30)))+('2 Aggregate System'!C36*($AE$27/SUM($AE$26:$AE$30)))+('2 Aggregate System'!D36*($AE$28/SUM($AE$26:$AE$30)))+('2 Aggregate System'!E36*($AE$29/SUM($AE$26:$AE$30)))+('2 Aggregate System'!F36*($AE$30/SUM($AE$26:$AE$30))))/100</f>
        <v>#DIV/0!</v>
      </c>
      <c r="AI35" s="778" t="e">
        <f t="shared" si="18"/>
        <v>#DIV/0!</v>
      </c>
      <c r="AJ35" s="11" t="e">
        <f t="shared" si="19"/>
        <v>#DIV/0!</v>
      </c>
      <c r="AK35" s="5"/>
      <c r="AL35" s="533" t="s">
        <v>44</v>
      </c>
      <c r="AM35" s="544">
        <f t="shared" si="11"/>
        <v>0</v>
      </c>
      <c r="AN35" s="546">
        <f t="shared" si="12"/>
        <v>0</v>
      </c>
      <c r="AO35" s="546">
        <f t="shared" si="13"/>
        <v>0</v>
      </c>
      <c r="AP35" s="546">
        <f t="shared" si="16"/>
        <v>5</v>
      </c>
      <c r="AQ35" s="544">
        <f t="shared" si="14"/>
        <v>5</v>
      </c>
      <c r="AR35" s="544">
        <f t="shared" si="15"/>
        <v>25</v>
      </c>
    </row>
    <row r="36" spans="2:44" ht="16.5" thickBot="1" x14ac:dyDescent="0.3">
      <c r="B36" s="38" t="s">
        <v>41</v>
      </c>
      <c r="C36" s="39">
        <v>1.18</v>
      </c>
      <c r="D36" s="25">
        <f t="shared" si="17"/>
        <v>1.0773254099250416</v>
      </c>
      <c r="E36" s="40">
        <f>+'2 Aggregate System'!L35</f>
        <v>0</v>
      </c>
      <c r="F36" s="38">
        <v>8</v>
      </c>
      <c r="G36" s="39">
        <v>18</v>
      </c>
      <c r="H36" s="44">
        <v>50</v>
      </c>
      <c r="I36" s="45">
        <v>85</v>
      </c>
      <c r="J36" s="38">
        <v>7</v>
      </c>
      <c r="K36" s="39">
        <v>15</v>
      </c>
      <c r="L36" s="38">
        <v>5</v>
      </c>
      <c r="M36" s="39">
        <v>15</v>
      </c>
      <c r="N36" s="38">
        <v>0</v>
      </c>
      <c r="O36" s="43">
        <f>D38</f>
        <v>0.58170736792793831</v>
      </c>
      <c r="P36" s="44">
        <v>20</v>
      </c>
      <c r="Q36" s="45">
        <v>4</v>
      </c>
      <c r="R36" s="1">
        <v>2</v>
      </c>
      <c r="S36" s="10">
        <v>14</v>
      </c>
      <c r="T36" s="10"/>
      <c r="V36" s="10"/>
      <c r="W36" s="10"/>
      <c r="X36" s="10"/>
      <c r="AA36" s="46" t="s">
        <v>190</v>
      </c>
      <c r="AB36" s="1" t="e">
        <f>(AE28/$AE$31)*100</f>
        <v>#DIV/0!</v>
      </c>
      <c r="AD36" s="46" t="s">
        <v>190</v>
      </c>
      <c r="AE36" s="1" t="e">
        <f>(AC28/$AC$31)*100</f>
        <v>#DIV/0!</v>
      </c>
      <c r="AG36" s="776" t="s">
        <v>44</v>
      </c>
      <c r="AH36" s="777" t="e">
        <f>(('2 Aggregate System'!B37*($AE$26/SUM($AE$26:$AE$30)))+('2 Aggregate System'!C37*($AE$27/SUM($AE$26:$AE$30)))+('2 Aggregate System'!D37*($AE$28/SUM($AE$26:$AE$30)))+('2 Aggregate System'!E37*($AE$29/SUM($AE$26:$AE$30)))+('2 Aggregate System'!F37*($AE$30/SUM($AE$26:$AE$30))))/100</f>
        <v>#DIV/0!</v>
      </c>
      <c r="AI36" s="778" t="e">
        <f t="shared" si="18"/>
        <v>#DIV/0!</v>
      </c>
      <c r="AJ36" s="11" t="e">
        <f t="shared" si="19"/>
        <v>#DIV/0!</v>
      </c>
      <c r="AK36" s="5"/>
      <c r="AL36" s="534" t="s">
        <v>45</v>
      </c>
      <c r="AM36" s="545">
        <f t="shared" si="11"/>
        <v>0</v>
      </c>
      <c r="AN36" s="547">
        <f t="shared" si="12"/>
        <v>0</v>
      </c>
      <c r="AO36" s="547">
        <f t="shared" si="13"/>
        <v>0</v>
      </c>
      <c r="AP36" s="547">
        <f t="shared" si="16"/>
        <v>2.5</v>
      </c>
      <c r="AQ36" s="545">
        <f t="shared" si="14"/>
        <v>2.5</v>
      </c>
      <c r="AR36" s="545">
        <f t="shared" si="15"/>
        <v>6.25</v>
      </c>
    </row>
    <row r="37" spans="2:44" x14ac:dyDescent="0.25">
      <c r="B37" s="38" t="s">
        <v>42</v>
      </c>
      <c r="C37" s="39">
        <v>0.6</v>
      </c>
      <c r="D37" s="25">
        <f t="shared" si="17"/>
        <v>0.79463568224020453</v>
      </c>
      <c r="E37" s="40">
        <f>+'2 Aggregate System'!L36</f>
        <v>0</v>
      </c>
      <c r="F37" s="38">
        <v>8</v>
      </c>
      <c r="G37" s="39">
        <v>18</v>
      </c>
      <c r="H37" s="44">
        <v>25</v>
      </c>
      <c r="I37" s="45">
        <v>60</v>
      </c>
      <c r="J37" s="38">
        <v>3</v>
      </c>
      <c r="K37" s="39">
        <v>8</v>
      </c>
      <c r="L37" s="38">
        <v>1</v>
      </c>
      <c r="M37" s="39">
        <v>8</v>
      </c>
      <c r="N37" s="38"/>
      <c r="O37" s="43"/>
      <c r="P37" s="44">
        <v>10</v>
      </c>
      <c r="Q37" s="45">
        <v>0</v>
      </c>
      <c r="R37" s="1">
        <v>0</v>
      </c>
      <c r="S37" s="10">
        <v>6</v>
      </c>
      <c r="T37" s="10"/>
      <c r="V37" s="10"/>
      <c r="W37" s="10"/>
      <c r="X37" s="10"/>
      <c r="AA37" s="46" t="s">
        <v>191</v>
      </c>
      <c r="AB37" s="1" t="e">
        <f>(AE29/$AE$31)*100</f>
        <v>#DIV/0!</v>
      </c>
      <c r="AD37" s="46" t="s">
        <v>191</v>
      </c>
      <c r="AE37" s="1" t="e">
        <f>(AC29/$AC$31)*100</f>
        <v>#DIV/0!</v>
      </c>
      <c r="AG37" s="776" t="s">
        <v>45</v>
      </c>
      <c r="AH37" s="777" t="e">
        <f>(('2 Aggregate System'!B38*($AE$26/SUM($AE$26:$AE$30)))+('2 Aggregate System'!C38*($AE$27/SUM($AE$26:$AE$30)))+('2 Aggregate System'!D38*($AE$28/SUM($AE$26:$AE$30)))+('2 Aggregate System'!E38*($AE$29/SUM($AE$26:$AE$30)))+('2 Aggregate System'!F38*($AE$30/SUM($AE$26:$AE$30))))/100</f>
        <v>#DIV/0!</v>
      </c>
      <c r="AI37" s="778" t="e">
        <f t="shared" si="18"/>
        <v>#DIV/0!</v>
      </c>
      <c r="AJ37" s="11" t="e">
        <f t="shared" si="19"/>
        <v>#DIV/0!</v>
      </c>
      <c r="AK37" s="5"/>
      <c r="AL37" s="10"/>
      <c r="AM37" s="556" t="s">
        <v>392</v>
      </c>
      <c r="AN37" s="557">
        <f>SUM(AN24:AN36)+SUM(AO24:AO36)</f>
        <v>200</v>
      </c>
      <c r="AO37" s="540"/>
      <c r="AP37" s="1366" t="s">
        <v>386</v>
      </c>
      <c r="AQ37" s="1366"/>
      <c r="AR37" s="543">
        <f>SUM(AR24:AR36)</f>
        <v>10993.5</v>
      </c>
    </row>
    <row r="38" spans="2:44" x14ac:dyDescent="0.25">
      <c r="B38" s="38" t="s">
        <v>43</v>
      </c>
      <c r="C38" s="39">
        <v>0.3</v>
      </c>
      <c r="D38" s="25">
        <f t="shared" si="17"/>
        <v>0.58170736792793831</v>
      </c>
      <c r="E38" s="40">
        <f>+'2 Aggregate System'!L37</f>
        <v>0</v>
      </c>
      <c r="F38" s="38">
        <v>0</v>
      </c>
      <c r="G38" s="39">
        <v>18</v>
      </c>
      <c r="H38" s="44">
        <v>10</v>
      </c>
      <c r="I38" s="45">
        <v>30</v>
      </c>
      <c r="J38" s="47">
        <v>0</v>
      </c>
      <c r="K38" s="48">
        <v>0</v>
      </c>
      <c r="L38" s="47">
        <v>1</v>
      </c>
      <c r="M38" s="48">
        <v>6</v>
      </c>
      <c r="N38" s="47">
        <v>0</v>
      </c>
      <c r="O38" s="50">
        <f>D40</f>
        <v>0.31172925995349998</v>
      </c>
      <c r="P38" s="51">
        <v>5</v>
      </c>
      <c r="Q38" s="52">
        <v>0</v>
      </c>
      <c r="R38" s="1">
        <v>0</v>
      </c>
      <c r="S38" s="10">
        <v>2.2999999999999998</v>
      </c>
      <c r="T38" s="10"/>
      <c r="V38" s="10"/>
      <c r="W38" s="10"/>
      <c r="X38" s="10"/>
      <c r="AA38" s="46" t="s">
        <v>192</v>
      </c>
      <c r="AB38" s="1" t="e">
        <f>(AE30/$AE$31)*100</f>
        <v>#DIV/0!</v>
      </c>
      <c r="AD38" s="46" t="s">
        <v>192</v>
      </c>
      <c r="AE38" s="1" t="e">
        <f>(AC30/$AC$31)*100</f>
        <v>#DIV/0!</v>
      </c>
      <c r="AK38" s="5"/>
      <c r="AL38" s="10"/>
      <c r="AM38" s="541"/>
      <c r="AN38" s="542"/>
      <c r="AO38" s="540"/>
      <c r="AP38" s="540"/>
      <c r="AQ38" s="540"/>
      <c r="AR38" s="540"/>
    </row>
    <row r="39" spans="2:44" x14ac:dyDescent="0.25">
      <c r="B39" s="38" t="s">
        <v>44</v>
      </c>
      <c r="C39" s="39">
        <v>0.15</v>
      </c>
      <c r="D39" s="25">
        <f t="shared" si="17"/>
        <v>0.42583471830473674</v>
      </c>
      <c r="E39" s="40">
        <f>+'2 Aggregate System'!L38</f>
        <v>0</v>
      </c>
      <c r="F39" s="38"/>
      <c r="G39" s="39">
        <v>0</v>
      </c>
      <c r="H39" s="44">
        <v>2</v>
      </c>
      <c r="I39" s="45">
        <v>10</v>
      </c>
      <c r="R39" s="74">
        <f>R26/100</f>
        <v>1</v>
      </c>
      <c r="S39" s="74">
        <f>S26/100</f>
        <v>1</v>
      </c>
      <c r="T39" s="10"/>
      <c r="U39" s="10"/>
      <c r="W39" s="10"/>
      <c r="X39" s="10"/>
      <c r="AA39" s="53" t="s">
        <v>193</v>
      </c>
      <c r="AB39" s="10" t="e">
        <f>SUM(AB34:AB36)</f>
        <v>#DIV/0!</v>
      </c>
      <c r="AD39" s="53" t="s">
        <v>197</v>
      </c>
      <c r="AE39" s="10" t="e">
        <f>SUM(AE34:AE36)</f>
        <v>#DIV/0!</v>
      </c>
      <c r="AM39" s="1352" t="s">
        <v>217</v>
      </c>
      <c r="AN39" s="1352"/>
      <c r="AO39" s="1352"/>
      <c r="AP39" s="540"/>
      <c r="AQ39" s="540"/>
      <c r="AR39" s="540"/>
    </row>
    <row r="40" spans="2:44" x14ac:dyDescent="0.25">
      <c r="B40" s="47" t="s">
        <v>45</v>
      </c>
      <c r="C40" s="48">
        <v>7.4999999999999997E-2</v>
      </c>
      <c r="D40" s="31">
        <f t="shared" si="17"/>
        <v>0.31172925995349998</v>
      </c>
      <c r="E40" s="49">
        <f>+'2 Aggregate System'!L40</f>
        <v>0</v>
      </c>
      <c r="F40" s="47"/>
      <c r="G40" s="48"/>
      <c r="H40" s="47">
        <v>0</v>
      </c>
      <c r="I40" s="48">
        <v>0</v>
      </c>
      <c r="R40" s="74">
        <f t="shared" ref="R40:S51" si="20">R27/100</f>
        <v>0.96</v>
      </c>
      <c r="S40" s="74">
        <f t="shared" si="20"/>
        <v>1</v>
      </c>
      <c r="AA40" s="53" t="s">
        <v>194</v>
      </c>
      <c r="AB40" s="10" t="e">
        <f>SUM(AB37:AB38)</f>
        <v>#DIV/0!</v>
      </c>
      <c r="AD40" s="53" t="s">
        <v>198</v>
      </c>
      <c r="AE40" s="10" t="e">
        <f>SUM(AE37:AE38)</f>
        <v>#DIV/0!</v>
      </c>
      <c r="AG40" s="1352" t="s">
        <v>218</v>
      </c>
      <c r="AH40" s="1352"/>
      <c r="AM40" s="1" t="s">
        <v>181</v>
      </c>
      <c r="AN40" s="1" t="s">
        <v>182</v>
      </c>
      <c r="AO40" s="1" t="s">
        <v>183</v>
      </c>
      <c r="AP40" s="1" t="s">
        <v>393</v>
      </c>
    </row>
    <row r="41" spans="2:44" x14ac:dyDescent="0.25">
      <c r="R41" s="74">
        <f t="shared" si="20"/>
        <v>0.7</v>
      </c>
      <c r="S41" s="74">
        <f t="shared" si="20"/>
        <v>0.99</v>
      </c>
      <c r="AG41" s="1" t="s">
        <v>201</v>
      </c>
      <c r="AL41" s="1" t="s">
        <v>158</v>
      </c>
      <c r="AM41" s="3">
        <f>IF('Optimize Tool'!E7="-",0,'Optimize Tool'!E7)</f>
        <v>0</v>
      </c>
      <c r="AN41" s="1" t="str">
        <f>'Optimize Tool'!F7</f>
        <v>-</v>
      </c>
      <c r="AO41" s="5">
        <f>IF(AM41=0,0,AM41/(62.4*AN41))</f>
        <v>0</v>
      </c>
      <c r="AP41" s="1" t="e">
        <f>IF(AM41="","",(AO41/$AO$46)*100)</f>
        <v>#DIV/0!</v>
      </c>
    </row>
    <row r="42" spans="2:44" x14ac:dyDescent="0.25">
      <c r="R42" s="74">
        <f t="shared" si="20"/>
        <v>0.55000000000000004</v>
      </c>
      <c r="S42" s="74">
        <f t="shared" si="20"/>
        <v>0.96</v>
      </c>
      <c r="AL42" s="1" t="s">
        <v>159</v>
      </c>
      <c r="AM42" s="3">
        <f>IF('Optimize Tool'!E8="-",0,'Optimize Tool'!E8)</f>
        <v>0</v>
      </c>
      <c r="AN42" s="1" t="str">
        <f>'Optimize Tool'!F8</f>
        <v>-</v>
      </c>
      <c r="AO42" s="5">
        <f t="shared" ref="AO42:AO45" si="21">IF(AM42=0,0,AM42/(62.4*AN42))</f>
        <v>0</v>
      </c>
      <c r="AP42" s="1" t="e">
        <f t="shared" ref="AP42:AP45" si="22">(AO42/$AO$46)*100</f>
        <v>#DIV/0!</v>
      </c>
    </row>
    <row r="43" spans="2:44" x14ac:dyDescent="0.25">
      <c r="R43" s="74">
        <f t="shared" si="20"/>
        <v>0.48</v>
      </c>
      <c r="S43" s="74">
        <f t="shared" si="20"/>
        <v>0.86</v>
      </c>
      <c r="AA43" s="1" t="s">
        <v>256</v>
      </c>
      <c r="AD43" s="1" t="s">
        <v>411</v>
      </c>
      <c r="AE43" s="1" t="s">
        <v>266</v>
      </c>
      <c r="AF43" s="1" t="s">
        <v>485</v>
      </c>
      <c r="AG43" s="1" t="s">
        <v>205</v>
      </c>
      <c r="AL43" s="1" t="s">
        <v>176</v>
      </c>
      <c r="AM43" s="3">
        <f>IF('Optimize Tool'!E9="-",0,'Optimize Tool'!E9)</f>
        <v>0</v>
      </c>
      <c r="AN43" s="1" t="str">
        <f>'Optimize Tool'!F9</f>
        <v>-</v>
      </c>
      <c r="AO43" s="5">
        <f t="shared" si="21"/>
        <v>0</v>
      </c>
      <c r="AP43" s="1" t="e">
        <f t="shared" si="22"/>
        <v>#DIV/0!</v>
      </c>
    </row>
    <row r="44" spans="2:44" x14ac:dyDescent="0.25">
      <c r="B44" s="1" t="s">
        <v>101</v>
      </c>
      <c r="R44" s="74">
        <f t="shared" si="20"/>
        <v>0.38</v>
      </c>
      <c r="S44" s="74">
        <f t="shared" si="20"/>
        <v>0.77</v>
      </c>
      <c r="AG44" s="1" t="s">
        <v>233</v>
      </c>
      <c r="AL44" s="1" t="s">
        <v>177</v>
      </c>
      <c r="AM44" s="3">
        <f>IF('Optimize Tool'!E10="-",0,'Optimize Tool'!E10)</f>
        <v>0</v>
      </c>
      <c r="AN44" s="1" t="str">
        <f>'Optimize Tool'!F10</f>
        <v>-</v>
      </c>
      <c r="AO44" s="5">
        <f t="shared" si="21"/>
        <v>0</v>
      </c>
      <c r="AP44" s="1" t="e">
        <f t="shared" si="22"/>
        <v>#DIV/0!</v>
      </c>
    </row>
    <row r="45" spans="2:44" x14ac:dyDescent="0.25">
      <c r="R45" s="74">
        <f t="shared" si="20"/>
        <v>0.3</v>
      </c>
      <c r="S45" s="74">
        <f t="shared" si="20"/>
        <v>0.6</v>
      </c>
      <c r="AA45" s="1" t="s">
        <v>255</v>
      </c>
      <c r="AB45" s="1">
        <v>0.42</v>
      </c>
      <c r="AD45" s="1" t="s">
        <v>399</v>
      </c>
      <c r="AE45" s="1" t="s">
        <v>450</v>
      </c>
      <c r="AF45" s="1">
        <v>500</v>
      </c>
      <c r="AG45" s="1" t="s">
        <v>202</v>
      </c>
      <c r="AL45" s="1" t="s">
        <v>178</v>
      </c>
      <c r="AM45" s="3">
        <f>IF('Optimize Tool'!E11="-",0,'Optimize Tool'!E11)</f>
        <v>0</v>
      </c>
      <c r="AN45" s="1" t="str">
        <f>'Optimize Tool'!F11</f>
        <v>-</v>
      </c>
      <c r="AO45" s="5">
        <f t="shared" si="21"/>
        <v>0</v>
      </c>
      <c r="AP45" s="1" t="e">
        <f t="shared" si="22"/>
        <v>#DIV/0!</v>
      </c>
    </row>
    <row r="46" spans="2:44" x14ac:dyDescent="0.25">
      <c r="B46" s="35" t="s">
        <v>102</v>
      </c>
      <c r="C46" s="54">
        <v>100</v>
      </c>
      <c r="D46" s="36">
        <v>36</v>
      </c>
      <c r="N46" s="6"/>
      <c r="R46" s="74">
        <f t="shared" si="20"/>
        <v>0.25</v>
      </c>
      <c r="S46" s="74">
        <f t="shared" si="20"/>
        <v>0.53</v>
      </c>
      <c r="AA46" s="1" t="s">
        <v>257</v>
      </c>
      <c r="AB46" s="1">
        <v>0.42</v>
      </c>
      <c r="AD46" s="1" t="s">
        <v>412</v>
      </c>
      <c r="AE46" s="1" t="s">
        <v>400</v>
      </c>
      <c r="AF46" s="1">
        <v>400</v>
      </c>
      <c r="AG46" s="1" t="s">
        <v>203</v>
      </c>
      <c r="AL46" s="1" t="s">
        <v>80</v>
      </c>
      <c r="AM46" s="3">
        <f>SUM(AM41:AM45)</f>
        <v>0</v>
      </c>
      <c r="AN46" s="1" t="s">
        <v>80</v>
      </c>
      <c r="AO46" s="10">
        <f>SUM(AO41:AO45)</f>
        <v>0</v>
      </c>
    </row>
    <row r="47" spans="2:44" x14ac:dyDescent="0.25">
      <c r="B47" s="38"/>
      <c r="C47" s="1">
        <v>35</v>
      </c>
      <c r="D47" s="39">
        <v>45</v>
      </c>
      <c r="R47" s="74">
        <f t="shared" si="20"/>
        <v>0.2</v>
      </c>
      <c r="S47" s="74">
        <f t="shared" si="20"/>
        <v>0.44</v>
      </c>
      <c r="AA47" s="1" t="s">
        <v>258</v>
      </c>
      <c r="AB47" s="1">
        <v>0.45</v>
      </c>
      <c r="AD47" s="1" t="s">
        <v>413</v>
      </c>
      <c r="AE47" s="1" t="s">
        <v>125</v>
      </c>
      <c r="AF47" s="1">
        <v>660</v>
      </c>
      <c r="AL47" s="1" t="s">
        <v>603</v>
      </c>
      <c r="AM47" s="3">
        <f>SUM(AM44:AM45)</f>
        <v>0</v>
      </c>
    </row>
    <row r="48" spans="2:44" x14ac:dyDescent="0.25">
      <c r="B48" s="38" t="s">
        <v>103</v>
      </c>
      <c r="C48" s="1">
        <v>100</v>
      </c>
      <c r="D48" s="39">
        <v>27</v>
      </c>
      <c r="R48" s="74">
        <f t="shared" si="20"/>
        <v>0.1</v>
      </c>
      <c r="S48" s="74">
        <f t="shared" si="20"/>
        <v>0.32</v>
      </c>
      <c r="AA48" s="1" t="s">
        <v>259</v>
      </c>
      <c r="AB48" s="1">
        <v>0.45</v>
      </c>
      <c r="AE48" s="1" t="s">
        <v>451</v>
      </c>
      <c r="AF48" s="1">
        <v>823</v>
      </c>
    </row>
    <row r="49" spans="2:28" x14ac:dyDescent="0.25">
      <c r="B49" s="38"/>
      <c r="C49" s="1">
        <v>85</v>
      </c>
      <c r="D49" s="39">
        <v>27</v>
      </c>
      <c r="R49" s="74">
        <f t="shared" si="20"/>
        <v>0.02</v>
      </c>
      <c r="S49" s="74">
        <f t="shared" si="20"/>
        <v>0.14000000000000001</v>
      </c>
      <c r="AA49" s="1" t="s">
        <v>260</v>
      </c>
      <c r="AB49" s="1">
        <v>0.45</v>
      </c>
    </row>
    <row r="50" spans="2:28" x14ac:dyDescent="0.25">
      <c r="B50" s="38"/>
      <c r="C50" s="1">
        <v>15</v>
      </c>
      <c r="D50" s="39">
        <v>37</v>
      </c>
      <c r="R50" s="74">
        <f>R37/100</f>
        <v>0</v>
      </c>
      <c r="S50" s="74">
        <f>S37/100</f>
        <v>0.06</v>
      </c>
      <c r="AA50" s="1" t="s">
        <v>483</v>
      </c>
      <c r="AB50" s="1">
        <v>0.36</v>
      </c>
    </row>
    <row r="51" spans="2:28" x14ac:dyDescent="0.25">
      <c r="B51" s="38"/>
      <c r="C51" s="1">
        <v>0</v>
      </c>
      <c r="D51" s="39">
        <v>37</v>
      </c>
      <c r="R51" s="74">
        <f t="shared" si="20"/>
        <v>0</v>
      </c>
      <c r="S51" s="74">
        <f t="shared" si="20"/>
        <v>2.3E-2</v>
      </c>
      <c r="AA51" s="1" t="s">
        <v>484</v>
      </c>
      <c r="AB51" s="1">
        <v>0.65</v>
      </c>
    </row>
    <row r="52" spans="2:28" x14ac:dyDescent="0.25">
      <c r="B52" s="38" t="s">
        <v>104</v>
      </c>
      <c r="C52" s="1">
        <v>75</v>
      </c>
      <c r="D52" s="55">
        <f>(C52-C49)/(C50-C49)*(D50-D49)+D49</f>
        <v>28.428571428571427</v>
      </c>
    </row>
    <row r="53" spans="2:28" x14ac:dyDescent="0.25">
      <c r="B53" s="38"/>
      <c r="C53" s="1">
        <v>75</v>
      </c>
      <c r="D53" s="55">
        <f>(C52-C46)/(C47-C46)*(D47-D46)+D46</f>
        <v>39.46153846153846</v>
      </c>
      <c r="P53" s="6"/>
    </row>
    <row r="54" spans="2:28" x14ac:dyDescent="0.25">
      <c r="B54" s="38" t="s">
        <v>105</v>
      </c>
      <c r="C54" s="1">
        <v>45</v>
      </c>
      <c r="D54" s="55">
        <f>(C54-C49)/(C50-C49)*(D50-D49)+D49</f>
        <v>32.714285714285715</v>
      </c>
    </row>
    <row r="55" spans="2:28" x14ac:dyDescent="0.25">
      <c r="B55" s="47"/>
      <c r="C55" s="56">
        <v>45</v>
      </c>
      <c r="D55" s="57">
        <f>(C54-C46)/(C47-C46)*(D47-D46)+D46</f>
        <v>43.615384615384613</v>
      </c>
    </row>
    <row r="57" spans="2:28" ht="16.5" thickBot="1" x14ac:dyDescent="0.3"/>
    <row r="58" spans="2:28" x14ac:dyDescent="0.25">
      <c r="B58" s="1" t="s">
        <v>106</v>
      </c>
      <c r="J58" s="7"/>
      <c r="K58" s="7"/>
      <c r="L58" s="60"/>
    </row>
    <row r="59" spans="2:28" ht="16.5" thickBot="1" x14ac:dyDescent="0.3">
      <c r="L59" s="63"/>
    </row>
    <row r="60" spans="2:28" x14ac:dyDescent="0.25">
      <c r="B60" s="58" t="s">
        <v>107</v>
      </c>
      <c r="C60" s="59" t="e">
        <f>'2 Aggregate System'!#REF!</f>
        <v>#REF!</v>
      </c>
      <c r="D60" s="58" t="s">
        <v>97</v>
      </c>
      <c r="E60" s="60"/>
      <c r="F60" s="7"/>
      <c r="G60" s="58" t="s">
        <v>98</v>
      </c>
      <c r="H60" s="60"/>
      <c r="I60" s="7"/>
      <c r="L60" s="63"/>
    </row>
    <row r="61" spans="2:28" x14ac:dyDescent="0.25">
      <c r="B61" s="2"/>
      <c r="C61" s="61"/>
      <c r="D61" s="62">
        <v>0.31172925995349998</v>
      </c>
      <c r="E61" s="63"/>
      <c r="G61" s="2"/>
      <c r="H61" s="63"/>
      <c r="L61" s="63"/>
    </row>
    <row r="62" spans="2:28" ht="16.5" thickBot="1" x14ac:dyDescent="0.3">
      <c r="B62" s="2"/>
      <c r="D62" s="62">
        <f>D63</f>
        <v>1.1899115514578733</v>
      </c>
      <c r="E62" s="63">
        <v>0</v>
      </c>
      <c r="G62" s="62">
        <v>0.31172925995349998</v>
      </c>
      <c r="H62" s="64">
        <v>0</v>
      </c>
      <c r="L62" s="63"/>
    </row>
    <row r="63" spans="2:28" x14ac:dyDescent="0.25">
      <c r="B63" s="2"/>
      <c r="D63" s="62">
        <f>'6 Agg Analysis'!D35^0.45</f>
        <v>1.1899115514578733</v>
      </c>
      <c r="E63" s="65" t="e">
        <f>((D63-D61)/(D65-D61))*E65</f>
        <v>#REF!</v>
      </c>
      <c r="G63" s="62">
        <f>'6 Agg Analysis'!D32</f>
        <v>3.116086507375345</v>
      </c>
      <c r="H63" s="64" t="e">
        <f>(G63-G62)/(G64-G62)*H64</f>
        <v>#REF!</v>
      </c>
      <c r="M63" s="66">
        <f>'6 Agg Analysis'!D30</f>
        <v>4.2566996126039234</v>
      </c>
      <c r="N63" s="60">
        <v>100</v>
      </c>
    </row>
    <row r="64" spans="2:28" ht="16.5" thickBot="1" x14ac:dyDescent="0.3">
      <c r="B64" s="2"/>
      <c r="D64" s="62">
        <f>'6 Agg Analysis'!D32</f>
        <v>3.116086507375345</v>
      </c>
      <c r="E64" s="65" t="e">
        <f>((D64-D61)/(D65-D61))*E65</f>
        <v>#REF!</v>
      </c>
      <c r="G64" s="62" t="e">
        <f>E69</f>
        <v>#REF!</v>
      </c>
      <c r="H64" s="63">
        <v>100</v>
      </c>
      <c r="J64" s="8"/>
      <c r="K64" s="8"/>
      <c r="L64" s="8"/>
      <c r="M64" s="62">
        <v>0.31172925995349998</v>
      </c>
      <c r="N64" s="63">
        <v>0</v>
      </c>
    </row>
    <row r="65" spans="2:14" x14ac:dyDescent="0.25">
      <c r="B65" s="2"/>
      <c r="D65" s="62" t="e">
        <f>E67</f>
        <v>#REF!</v>
      </c>
      <c r="E65" s="63">
        <v>100</v>
      </c>
      <c r="G65" s="2"/>
      <c r="H65" s="63"/>
      <c r="J65" s="68">
        <v>0.75</v>
      </c>
      <c r="K65" s="68">
        <v>12.5</v>
      </c>
      <c r="L65" s="69">
        <f t="shared" ref="L65:L70" si="23">K65^0.45</f>
        <v>3.116086507375345</v>
      </c>
      <c r="M65" s="62"/>
      <c r="N65" s="63"/>
    </row>
    <row r="66" spans="2:14" ht="16.5" thickBot="1" x14ac:dyDescent="0.3">
      <c r="B66" s="9"/>
      <c r="C66" s="8"/>
      <c r="D66" s="9"/>
      <c r="E66" s="67"/>
      <c r="F66" s="8"/>
      <c r="G66" s="9"/>
      <c r="H66" s="67"/>
      <c r="I66" s="8"/>
      <c r="J66" s="6">
        <v>1</v>
      </c>
      <c r="K66" s="6">
        <v>19.5</v>
      </c>
      <c r="L66" s="70">
        <f t="shared" si="23"/>
        <v>3.8064100829378442</v>
      </c>
      <c r="M66" s="62">
        <f>'6 Agg Analysis'!D29</f>
        <v>5.1087431744234335</v>
      </c>
      <c r="N66" s="63">
        <v>100</v>
      </c>
    </row>
    <row r="67" spans="2:14" x14ac:dyDescent="0.25">
      <c r="B67" s="2"/>
      <c r="D67" s="68" t="e">
        <f>VLOOKUP(D68,H65:J70,3)</f>
        <v>#REF!</v>
      </c>
      <c r="E67" s="68" t="e">
        <f>VLOOKUP(D67,H65:L70,5)</f>
        <v>#REF!</v>
      </c>
      <c r="F67" s="68">
        <v>0.31172925995349998</v>
      </c>
      <c r="H67" s="66">
        <v>0.5</v>
      </c>
      <c r="I67" s="68">
        <f>I69/2</f>
        <v>0.375</v>
      </c>
      <c r="J67" s="6">
        <v>1.5</v>
      </c>
      <c r="K67" s="6">
        <v>25</v>
      </c>
      <c r="L67" s="70">
        <f t="shared" si="23"/>
        <v>4.2566996126039234</v>
      </c>
      <c r="M67" s="62">
        <v>0.31172925995349998</v>
      </c>
      <c r="N67" s="63">
        <v>0</v>
      </c>
    </row>
    <row r="68" spans="2:14" x14ac:dyDescent="0.25">
      <c r="B68" s="2"/>
      <c r="C68" s="53" t="s">
        <v>108</v>
      </c>
      <c r="D68" s="6" t="e">
        <f>C60</f>
        <v>#REF!</v>
      </c>
      <c r="E68" s="6" t="e">
        <f>VLOOKUP(D68,H65:L70,5)</f>
        <v>#REF!</v>
      </c>
      <c r="F68" s="6">
        <v>0.31172925995349998</v>
      </c>
      <c r="H68" s="62">
        <v>0.75</v>
      </c>
      <c r="I68" s="6">
        <v>0.5</v>
      </c>
      <c r="J68" s="6">
        <v>2</v>
      </c>
      <c r="K68" s="6">
        <v>37.5</v>
      </c>
      <c r="L68" s="70">
        <f t="shared" si="23"/>
        <v>5.1087431744234335</v>
      </c>
      <c r="M68" s="62"/>
      <c r="N68" s="63"/>
    </row>
    <row r="69" spans="2:14" x14ac:dyDescent="0.25">
      <c r="B69" s="2"/>
      <c r="D69" s="6" t="e">
        <f>VLOOKUP(D68,H65:J70,2)</f>
        <v>#REF!</v>
      </c>
      <c r="E69" s="6" t="e">
        <f>VLOOKUP(D69,H65:L70,5)</f>
        <v>#REF!</v>
      </c>
      <c r="F69" s="6">
        <v>0.31172925995349998</v>
      </c>
      <c r="H69" s="62">
        <v>1</v>
      </c>
      <c r="I69" s="6">
        <v>0.75</v>
      </c>
      <c r="J69" s="6">
        <v>3</v>
      </c>
      <c r="K69" s="6">
        <v>50</v>
      </c>
      <c r="L69" s="70">
        <f t="shared" si="23"/>
        <v>5.8148230317277987</v>
      </c>
      <c r="M69" s="62">
        <f>'6 Agg Analysis'!D31</f>
        <v>3.8064100829378442</v>
      </c>
      <c r="N69" s="63">
        <v>100</v>
      </c>
    </row>
    <row r="70" spans="2:14" ht="16.5" thickBot="1" x14ac:dyDescent="0.3">
      <c r="B70" s="2"/>
      <c r="H70" s="62">
        <v>1.5</v>
      </c>
      <c r="I70" s="6">
        <v>1</v>
      </c>
      <c r="J70" s="72">
        <v>4</v>
      </c>
      <c r="K70" s="72">
        <v>75</v>
      </c>
      <c r="L70" s="73">
        <f t="shared" si="23"/>
        <v>6.9787488376816533</v>
      </c>
      <c r="M70" s="71">
        <v>0.31172925995349998</v>
      </c>
      <c r="N70" s="67">
        <v>0</v>
      </c>
    </row>
    <row r="71" spans="2:14" x14ac:dyDescent="0.25">
      <c r="B71" s="2"/>
      <c r="E71" s="6">
        <v>0.31172925995349998</v>
      </c>
      <c r="F71" s="6">
        <v>0</v>
      </c>
      <c r="H71" s="62">
        <v>2</v>
      </c>
      <c r="I71" s="6">
        <v>1.5</v>
      </c>
    </row>
    <row r="72" spans="2:14" ht="16.5" thickBot="1" x14ac:dyDescent="0.3">
      <c r="B72" s="9"/>
      <c r="C72" s="8"/>
      <c r="D72" s="8"/>
      <c r="E72" s="8"/>
      <c r="F72" s="8"/>
      <c r="G72" s="8"/>
      <c r="H72" s="71">
        <v>3</v>
      </c>
      <c r="I72" s="72">
        <v>2</v>
      </c>
    </row>
  </sheetData>
  <sheetProtection algorithmName="SHA-512" hashValue="N9+jWZScaPmClUyX3FS86D2wbQLv5cPvOjQg/phJ3/rgErloWkFby1YSO7X/QC7lpNabUEIUn8piG0v9Mih1Mw==" saltValue="IJLwX9WiUjRQPbUyr10UCg==" spinCount="100000" sheet="1" objects="1" scenarios="1"/>
  <mergeCells count="21">
    <mergeCell ref="A1:G1"/>
    <mergeCell ref="I1:L1"/>
    <mergeCell ref="Q1:AF4"/>
    <mergeCell ref="AB6:AF6"/>
    <mergeCell ref="AA33:AB33"/>
    <mergeCell ref="AD33:AE33"/>
    <mergeCell ref="AC24:AE24"/>
    <mergeCell ref="R23:S23"/>
    <mergeCell ref="AA32:AE32"/>
    <mergeCell ref="AH23:AJ23"/>
    <mergeCell ref="AG40:AH40"/>
    <mergeCell ref="AJ6:AK6"/>
    <mergeCell ref="AH6:AI6"/>
    <mergeCell ref="AM22:AR22"/>
    <mergeCell ref="AP37:AQ37"/>
    <mergeCell ref="AM39:AO39"/>
    <mergeCell ref="AH5:AK5"/>
    <mergeCell ref="AV5:AY5"/>
    <mergeCell ref="AV6:AW6"/>
    <mergeCell ref="AX6:AY6"/>
    <mergeCell ref="AN6:AR6"/>
  </mergeCells>
  <pageMargins left="0.7" right="0.7" top="0.75" bottom="0.75" header="0.3" footer="0.3"/>
  <pageSetup scale="22" orientation="portrait" horizontalDpi="200" verticalDpi="200" r:id="rId1"/>
  <ignoredErrors>
    <ignoredError sqref="AP25:AP36" formulaRange="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4656E-41D3-4215-BBA1-295F82CD1309}">
  <sheetPr>
    <tabColor rgb="FFFF0000"/>
  </sheetPr>
  <dimension ref="A1:AB58"/>
  <sheetViews>
    <sheetView zoomScaleNormal="100" workbookViewId="0">
      <selection activeCell="C6" sqref="C6"/>
    </sheetView>
  </sheetViews>
  <sheetFormatPr defaultColWidth="8.85546875" defaultRowHeight="15" x14ac:dyDescent="0.25"/>
  <cols>
    <col min="1" max="2" width="8.85546875" style="92"/>
    <col min="3" max="3" width="20.28515625" style="92" bestFit="1" customWidth="1"/>
    <col min="4" max="4" width="16.140625" style="92" bestFit="1" customWidth="1"/>
    <col min="5" max="5" width="14.7109375" style="92" bestFit="1" customWidth="1"/>
    <col min="6" max="6" width="12.42578125" style="92" bestFit="1" customWidth="1"/>
    <col min="7" max="7" width="12.42578125" style="92" customWidth="1"/>
    <col min="8" max="8" width="12.42578125" style="92" bestFit="1" customWidth="1"/>
    <col min="9" max="9" width="17.28515625" style="92" bestFit="1" customWidth="1"/>
    <col min="10" max="10" width="12.5703125" style="92" bestFit="1" customWidth="1"/>
    <col min="11" max="11" width="12.28515625" style="92" bestFit="1" customWidth="1"/>
    <col min="12" max="12" width="15.28515625" style="92" bestFit="1" customWidth="1"/>
    <col min="13" max="13" width="16.5703125" style="92" bestFit="1" customWidth="1"/>
    <col min="14" max="14" width="12.140625" style="92" customWidth="1"/>
    <col min="15" max="15" width="17.28515625" style="92" bestFit="1" customWidth="1"/>
    <col min="16" max="16" width="16.28515625" style="92" bestFit="1" customWidth="1"/>
    <col min="17" max="17" width="16.7109375" style="92" bestFit="1" customWidth="1"/>
    <col min="18" max="18" width="16.28515625" style="92" bestFit="1" customWidth="1"/>
    <col min="19" max="19" width="12.7109375" style="92" bestFit="1" customWidth="1"/>
    <col min="20" max="20" width="17.7109375" style="92" bestFit="1" customWidth="1"/>
    <col min="21" max="21" width="8.85546875" style="92" customWidth="1"/>
    <col min="22" max="22" width="13.85546875" style="92" bestFit="1" customWidth="1"/>
    <col min="23" max="23" width="16.140625" style="92" bestFit="1" customWidth="1"/>
    <col min="24" max="24" width="13.85546875" style="92" bestFit="1" customWidth="1"/>
    <col min="25" max="25" width="16.28515625" style="92" bestFit="1" customWidth="1"/>
    <col min="26" max="26" width="13.85546875" style="92" bestFit="1" customWidth="1"/>
    <col min="27" max="27" width="17.7109375" style="92" bestFit="1" customWidth="1"/>
    <col min="28" max="28" width="19" style="92" bestFit="1" customWidth="1"/>
    <col min="29" max="29" width="17.7109375" style="92" bestFit="1" customWidth="1"/>
    <col min="30" max="30" width="19" style="92" bestFit="1" customWidth="1"/>
    <col min="31" max="16384" width="8.85546875" style="92"/>
  </cols>
  <sheetData>
    <row r="1" spans="1:28" ht="16.5" thickBot="1" x14ac:dyDescent="0.3">
      <c r="A1" s="802" t="s">
        <v>377</v>
      </c>
      <c r="B1" s="803"/>
      <c r="C1" s="803"/>
      <c r="D1" s="803"/>
      <c r="E1" s="803"/>
      <c r="F1" s="1397" t="s">
        <v>365</v>
      </c>
      <c r="G1" s="1397"/>
      <c r="H1" s="1398"/>
    </row>
    <row r="2" spans="1:28" ht="15.75" thickBot="1" x14ac:dyDescent="0.3">
      <c r="A2" s="504" t="str">
        <f>Directions!A2</f>
        <v>DT2221     08/2022</v>
      </c>
      <c r="I2" s="1023" t="s">
        <v>432</v>
      </c>
      <c r="J2" s="1379"/>
      <c r="K2" s="1379"/>
      <c r="L2" s="1379"/>
      <c r="M2" s="1380"/>
      <c r="O2" s="1023" t="s">
        <v>405</v>
      </c>
      <c r="P2" s="1379"/>
      <c r="Q2" s="1379"/>
      <c r="R2" s="1379"/>
      <c r="S2" s="1380"/>
      <c r="V2" s="1389" t="s">
        <v>316</v>
      </c>
      <c r="W2" s="1390"/>
      <c r="X2" s="1390"/>
      <c r="Y2" s="1390"/>
      <c r="Z2" s="1390"/>
      <c r="AA2" s="1390"/>
      <c r="AB2" s="1391"/>
    </row>
    <row r="3" spans="1:28" ht="15.75" thickBot="1" x14ac:dyDescent="0.3">
      <c r="I3" s="1376" t="s">
        <v>54</v>
      </c>
      <c r="J3" s="1021" t="s">
        <v>270</v>
      </c>
      <c r="K3" s="1022"/>
      <c r="L3" s="958" t="s">
        <v>324</v>
      </c>
      <c r="M3" s="1376" t="s">
        <v>278</v>
      </c>
      <c r="O3" s="1376" t="s">
        <v>54</v>
      </c>
      <c r="P3" s="1021" t="s">
        <v>270</v>
      </c>
      <c r="Q3" s="1022"/>
      <c r="R3" s="958" t="s">
        <v>324</v>
      </c>
      <c r="S3" s="1376" t="s">
        <v>278</v>
      </c>
      <c r="V3" s="1021" t="s">
        <v>315</v>
      </c>
      <c r="W3" s="1314"/>
      <c r="X3" s="1314"/>
      <c r="Y3" s="1022"/>
      <c r="Z3" s="1021" t="s">
        <v>278</v>
      </c>
      <c r="AA3" s="1314"/>
      <c r="AB3" s="1022"/>
    </row>
    <row r="4" spans="1:28" ht="15.75" thickBot="1" x14ac:dyDescent="0.3">
      <c r="C4" s="1401" t="s">
        <v>409</v>
      </c>
      <c r="D4" s="1402"/>
      <c r="E4" s="1402"/>
      <c r="F4" s="1403"/>
      <c r="I4" s="1394"/>
      <c r="J4" s="130" t="s">
        <v>241</v>
      </c>
      <c r="K4" s="130" t="s">
        <v>242</v>
      </c>
      <c r="L4" s="1399"/>
      <c r="M4" s="1400"/>
      <c r="O4" s="1027"/>
      <c r="P4" s="130" t="s">
        <v>241</v>
      </c>
      <c r="Q4" s="130" t="s">
        <v>242</v>
      </c>
      <c r="R4" s="959"/>
      <c r="S4" s="1027"/>
      <c r="V4" s="734" t="s">
        <v>23</v>
      </c>
      <c r="W4" s="735" t="s">
        <v>315</v>
      </c>
      <c r="X4" s="735" t="s">
        <v>327</v>
      </c>
      <c r="Y4" s="736" t="s">
        <v>174</v>
      </c>
      <c r="Z4" s="734" t="s">
        <v>327</v>
      </c>
      <c r="AA4" s="735" t="s">
        <v>174</v>
      </c>
      <c r="AB4" s="736" t="s">
        <v>328</v>
      </c>
    </row>
    <row r="5" spans="1:28" ht="16.5" thickBot="1" x14ac:dyDescent="0.3">
      <c r="C5" s="117" t="s">
        <v>79</v>
      </c>
      <c r="D5" s="117" t="s">
        <v>182</v>
      </c>
      <c r="E5" s="117" t="s">
        <v>406</v>
      </c>
      <c r="F5" s="117" t="s">
        <v>404</v>
      </c>
      <c r="I5" s="76" t="s">
        <v>33</v>
      </c>
      <c r="J5" s="608">
        <v>0</v>
      </c>
      <c r="K5" s="608">
        <v>0</v>
      </c>
      <c r="L5" s="655" t="str">
        <f>IF(AND($K$21=0,$K$22=0,$K$23=0,$K$24=0,$K$25=0),"-",IF(OR($K$41="AIR ?",$F$25="W/CM ERROR",$F$24="CM ERROR"),"CM ERROR",IF($K$46="AGG. ERROR","-",'6 Agg Analysis'!AJ25)))</f>
        <v>-</v>
      </c>
      <c r="M5" s="130" t="str">
        <f t="shared" ref="M5:M17" si="0">IF(AND($K$21=0,$K$22=0,$K$23=0,$K$24=0,$K$25=0),"-",IF($K$50&lt;1.25,"ERROR: vp/vv",IF($M$32="AIR ?","AIR ?",IF($F$25="W/CM ERROR","W/CM ERROR",IF(OR($K$44="AGG. ERROR",$K$45="AGG. ERROR"),"AGG. ERROR",IF(AND(L5&gt;=J5,L5&lt;=K5),"Pass","Fail"))))))</f>
        <v>-</v>
      </c>
      <c r="O5" s="607" t="s">
        <v>33</v>
      </c>
      <c r="P5" s="595">
        <v>0</v>
      </c>
      <c r="Q5" s="595">
        <v>0</v>
      </c>
      <c r="R5" s="656" t="str">
        <f>IF(AND($R$21=0,$R$22=0,$R$23=0,$R$24=0,$R$25=0),"-",IF(OR($K$41="AIR ?",$F$25="W/CM ERROR",$F$24="CM ERROR"),"CM ERROR",IF($Q$46="AGG. ERROR","-",'6 Agg Analysis'!AT8)))</f>
        <v>CM ERROR</v>
      </c>
      <c r="S5" s="608" t="str">
        <f>IF(AND($Q$21=0,$Q$22=0,$Q$23=0,$Q$24=0,$Q$25=0),"-",IF($Q$50&lt;1.25,"ERROR: vp/vv",IF($T$32="AIR ?","AIR ?",IF($F$25="W/CM ERROR","W/CM ERROR",IF(OR($Q$44="AGG. ERROR",$Q$45="AGG. ERROR"),"AGG. ERROR",IF(AND(R5&gt;=P5,R5&lt;=Q5),"Pass","Fail"))))))</f>
        <v>-</v>
      </c>
      <c r="V5" s="85" t="s">
        <v>158</v>
      </c>
      <c r="W5" s="580">
        <f>'2 Aggregate System'!B13</f>
        <v>0</v>
      </c>
      <c r="X5" s="580">
        <f>'2 Aggregate System'!D13</f>
        <v>0</v>
      </c>
      <c r="Y5" s="737">
        <f>'2 Aggregate System'!F13</f>
        <v>0</v>
      </c>
      <c r="Z5" s="85" t="str">
        <f>IF(X5=0,"Source ID #?",X5)</f>
        <v>Source ID #?</v>
      </c>
      <c r="AA5" s="580" t="str">
        <f>IF(AND(W5&gt;0,Y5=0),"Test #?",IF(AND(W5=0,Y5=0),"-",Y5))</f>
        <v>-</v>
      </c>
      <c r="AB5" s="737" t="str">
        <f>IF(AND(W5=0,X5=0,Y5=0),"-",IF(AND(W5=0,X5&gt;0,Y5&gt;0),"Source Name?",IF(AND(W5&gt;0,X5=0,Y5&gt;0),"Source ID?",IF(AND(W5=0,X5=0,Y5&gt;0),"Source Name?",_xlfn.CONCAT(W5," / ",Z5)))))</f>
        <v>-</v>
      </c>
    </row>
    <row r="6" spans="1:28" ht="15.75" x14ac:dyDescent="0.25">
      <c r="C6" s="130" t="s">
        <v>158</v>
      </c>
      <c r="D6" s="609">
        <f>'2 Aggregate System'!I13</f>
        <v>0</v>
      </c>
      <c r="E6" s="130">
        <f>IF(AND('2 Aggregate System'!$B$26=0,K21&gt;0),"GRAD. ?",IF(AND('4 Mix Design'!D14&gt;0,D6=0),"SG?",D6))</f>
        <v>0</v>
      </c>
      <c r="F6" s="610">
        <f>IF(AND('2 Aggregate System'!$B$26=0,Q21&gt;0),"GRAD. ?",IF(AND('Optimize Tool'!D7&gt;0,D6=0),"SG?",D6))</f>
        <v>0</v>
      </c>
      <c r="I6" s="77" t="s">
        <v>34</v>
      </c>
      <c r="J6" s="595">
        <v>0</v>
      </c>
      <c r="K6" s="595">
        <v>5</v>
      </c>
      <c r="L6" s="656" t="str">
        <f>IF(AND($K$21=0,$K$22=0,$K$23=0,$K$24=0,$K$25=0),"-",IF(OR($K$41="AIR ?",$F$25="W/CM ERROR",$F$24="CM ERROR"),"CM ERROR",IF($K$46="AGG. ERROR","-",'6 Agg Analysis'!AJ26)))</f>
        <v>-</v>
      </c>
      <c r="M6" s="595" t="str">
        <f t="shared" si="0"/>
        <v>-</v>
      </c>
      <c r="O6" s="741" t="s">
        <v>34</v>
      </c>
      <c r="P6" s="595">
        <v>0</v>
      </c>
      <c r="Q6" s="595">
        <v>5</v>
      </c>
      <c r="R6" s="603" t="str">
        <f>IF(AND($R$21=0,$R$22=0,$R$23=0,$R$24=0,$R$25=0),"-",IF(OR($K$41="AIR ?",$F$25="W/CM ERROR",$F$24="CM ERROR"),"CM ERROR",IF($Q$46="AGG. ERROR","-",'6 Agg Analysis'!AT9)))</f>
        <v>CM ERROR</v>
      </c>
      <c r="S6" s="595" t="str">
        <f t="shared" ref="S6:S17" si="1">IF(AND($Q$21=0,$Q$22=0,$Q$23=0,$Q$24=0,$Q$25=0),"-",IF($Q$50&lt;1.25,"ERROR: vp/vv",IF($T$32="AIR ?","AIR ?",IF($F$25="W/CM ERROR","W/CM ERROR",IF(OR($Q$44="AGG. ERROR",$Q$45="AGG. ERROR"),"AGG. ERROR",IF(AND(R6&gt;=P6,R6&lt;=Q6),"Pass","Fail"))))))</f>
        <v>-</v>
      </c>
      <c r="V6" s="85" t="s">
        <v>159</v>
      </c>
      <c r="W6" s="580">
        <f>'2 Aggregate System'!B14</f>
        <v>0</v>
      </c>
      <c r="X6" s="580">
        <f>'2 Aggregate System'!D14</f>
        <v>0</v>
      </c>
      <c r="Y6" s="737">
        <f>'2 Aggregate System'!F14</f>
        <v>0</v>
      </c>
      <c r="Z6" s="85" t="str">
        <f t="shared" ref="Z6:Z9" si="2">IF(X6=0,"Source ID #?",X6)</f>
        <v>Source ID #?</v>
      </c>
      <c r="AA6" s="580" t="str">
        <f>IF(AND(W6&gt;0,Y6=0),"Test #?",IF(AND(W6=0,Y6=0),"-",Y6))</f>
        <v>-</v>
      </c>
      <c r="AB6" s="737" t="str">
        <f t="shared" ref="AB6:AB9" si="3">IF(AND(W6=0,X6=0,Y6=0),"-",IF(AND(W6=0,X6&gt;0,Y6&gt;0),"Source Name?",IF(AND(W6&gt;0,X6=0,Y6&gt;0),"Source ID?",IF(AND(W6=0,X6=0,Y6&gt;0),"Source Name?",_xlfn.CONCAT(W6," / ",Z6)))))</f>
        <v>-</v>
      </c>
    </row>
    <row r="7" spans="1:28" ht="15.75" x14ac:dyDescent="0.25">
      <c r="C7" s="595" t="s">
        <v>159</v>
      </c>
      <c r="D7" s="598">
        <f>'2 Aggregate System'!I14</f>
        <v>0</v>
      </c>
      <c r="E7" s="595">
        <f>IF(AND('2 Aggregate System'!$C$26=0,K22&gt;0),"GRAD. ?",IF(AND('4 Mix Design'!D15&gt;0,D7=0),"SG?",D7))</f>
        <v>0</v>
      </c>
      <c r="F7" s="738">
        <f>IF(AND('2 Aggregate System'!$C$26=0,Q22&gt;0),"GRAD. ?",IF(AND('Optimize Tool'!D8&gt;0,D7=0),"SG?",D7))</f>
        <v>0</v>
      </c>
      <c r="I7" s="77" t="s">
        <v>35</v>
      </c>
      <c r="J7" s="595">
        <v>0</v>
      </c>
      <c r="K7" s="595">
        <v>16</v>
      </c>
      <c r="L7" s="656" t="str">
        <f>IF(AND($K$21=0,$K$22=0,$K$23=0,$K$24=0,$K$25=0),"-",IF(OR($K$41="AIR ?",$F$25="W/CM ERROR",$F$24="CM ERROR"),"CM ERROR",IF($K$46="AGG. ERROR","-",'6 Agg Analysis'!AJ27)))</f>
        <v>-</v>
      </c>
      <c r="M7" s="595" t="str">
        <f t="shared" si="0"/>
        <v>-</v>
      </c>
      <c r="O7" s="741" t="s">
        <v>35</v>
      </c>
      <c r="P7" s="595">
        <v>0</v>
      </c>
      <c r="Q7" s="595">
        <v>16</v>
      </c>
      <c r="R7" s="603" t="str">
        <f>IF(AND($R$21=0,$R$22=0,$R$23=0,$R$24=0,$R$25=0),"-",IF(OR($K$41="AIR ?",$F$25="W/CM ERROR",$F$24="CM ERROR"),"CM ERROR",IF($Q$46="AGG. ERROR","-",'6 Agg Analysis'!AT10)))</f>
        <v>CM ERROR</v>
      </c>
      <c r="S7" s="595" t="str">
        <f t="shared" si="1"/>
        <v>-</v>
      </c>
      <c r="V7" s="85" t="s">
        <v>176</v>
      </c>
      <c r="W7" s="580">
        <f>'2 Aggregate System'!B15</f>
        <v>0</v>
      </c>
      <c r="X7" s="580">
        <f>'2 Aggregate System'!D15</f>
        <v>0</v>
      </c>
      <c r="Y7" s="737">
        <f>'2 Aggregate System'!F15</f>
        <v>0</v>
      </c>
      <c r="Z7" s="85" t="str">
        <f t="shared" si="2"/>
        <v>Source ID #?</v>
      </c>
      <c r="AA7" s="580" t="str">
        <f>IF(AND(W7&gt;0,Y7=0),"Test #?",IF(AND(W7=0,Y7=0),"-",Y7))</f>
        <v>-</v>
      </c>
      <c r="AB7" s="737" t="str">
        <f t="shared" si="3"/>
        <v>-</v>
      </c>
    </row>
    <row r="8" spans="1:28" ht="15.75" x14ac:dyDescent="0.25">
      <c r="C8" s="595" t="s">
        <v>176</v>
      </c>
      <c r="D8" s="598">
        <f>'2 Aggregate System'!I15</f>
        <v>0</v>
      </c>
      <c r="E8" s="595">
        <f>IF(AND('2 Aggregate System'!$D$26=0,K23&gt;0),"GRAD. ?",IF(AND('4 Mix Design'!D16&gt;0,D8=0),"SG?",D8))</f>
        <v>0</v>
      </c>
      <c r="F8" s="738">
        <f>IF(AND('2 Aggregate System'!$D$26=0,Q23&gt;0),"GRAD. ?",IF(AND('Optimize Tool'!D9&gt;0,D8=0),"SG?",D8))</f>
        <v>0</v>
      </c>
      <c r="I8" s="77" t="s">
        <v>36</v>
      </c>
      <c r="J8" s="595">
        <v>0</v>
      </c>
      <c r="K8" s="595">
        <v>20</v>
      </c>
      <c r="L8" s="656" t="str">
        <f>IF(AND($K$21=0,$K$22=0,$K$23=0,$K$24=0,$K$25=0),"-",IF(OR($K$41="AIR ?",$F$25="W/CM ERROR",$F$24="CM ERROR"),"CM ERROR",IF($K$46="AGG. ERROR","-",'6 Agg Analysis'!AJ28)))</f>
        <v>-</v>
      </c>
      <c r="M8" s="595" t="str">
        <f t="shared" si="0"/>
        <v>-</v>
      </c>
      <c r="O8" s="741" t="s">
        <v>36</v>
      </c>
      <c r="P8" s="595">
        <v>0</v>
      </c>
      <c r="Q8" s="595">
        <v>20</v>
      </c>
      <c r="R8" s="603" t="str">
        <f>IF(AND($R$21=0,$R$22=0,$R$23=0,$R$24=0,$R$25=0),"-",IF(OR($K$41="AIR ?",$F$25="W/CM ERROR",$F$24="CM ERROR"),"CM ERROR",IF($Q$46="AGG. ERROR","-",'6 Agg Analysis'!AT11)))</f>
        <v>CM ERROR</v>
      </c>
      <c r="S8" s="595" t="str">
        <f t="shared" si="1"/>
        <v>-</v>
      </c>
      <c r="V8" s="85" t="s">
        <v>177</v>
      </c>
      <c r="W8" s="580">
        <f>'2 Aggregate System'!B16</f>
        <v>0</v>
      </c>
      <c r="X8" s="580">
        <f>'2 Aggregate System'!D16</f>
        <v>0</v>
      </c>
      <c r="Y8" s="737">
        <f>'2 Aggregate System'!F16</f>
        <v>0</v>
      </c>
      <c r="Z8" s="85" t="str">
        <f t="shared" si="2"/>
        <v>Source ID #?</v>
      </c>
      <c r="AA8" s="580" t="str">
        <f>IF(AND(W8&gt;0,Y8=0),"Test #?",IF(AND(W8=0,Y8=0),"-",Y8))</f>
        <v>-</v>
      </c>
      <c r="AB8" s="737" t="str">
        <f t="shared" si="3"/>
        <v>-</v>
      </c>
    </row>
    <row r="9" spans="1:28" ht="16.5" thickBot="1" x14ac:dyDescent="0.3">
      <c r="C9" s="595" t="s">
        <v>177</v>
      </c>
      <c r="D9" s="598">
        <f>'2 Aggregate System'!I16</f>
        <v>0</v>
      </c>
      <c r="E9" s="595">
        <f>IF(AND('2 Aggregate System'!$E$26=0,K24&gt;0),"GRAD. ?",IF(AND('4 Mix Design'!D17&gt;0,D9=0),"SG?",D9))</f>
        <v>0</v>
      </c>
      <c r="F9" s="738">
        <f>IF(AND('2 Aggregate System'!$E$26=0,Q24&gt;0),"GRAD. ?",IF(AND('Optimize Tool'!D10&gt;0,D9=0),"SG?",D9))</f>
        <v>0</v>
      </c>
      <c r="I9" s="77" t="s">
        <v>37</v>
      </c>
      <c r="J9" s="595">
        <v>4</v>
      </c>
      <c r="K9" s="595">
        <v>20</v>
      </c>
      <c r="L9" s="656" t="str">
        <f>IF(AND($K$21=0,$K$22=0,$K$23=0,$K$24=0,$K$25=0),"-",IF(OR($K$41="AIR ?",$F$25="W/CM ERROR",$F$24="CM ERROR"),"CM ERROR",IF($K$46="AGG. ERROR","-",'6 Agg Analysis'!AJ29)))</f>
        <v>-</v>
      </c>
      <c r="M9" s="595" t="str">
        <f t="shared" si="0"/>
        <v>-</v>
      </c>
      <c r="O9" s="741" t="s">
        <v>37</v>
      </c>
      <c r="P9" s="595">
        <v>4</v>
      </c>
      <c r="Q9" s="595">
        <v>20</v>
      </c>
      <c r="R9" s="603" t="str">
        <f>IF(AND($R$21=0,$R$22=0,$R$23=0,$R$24=0,$R$25=0),"-",IF(OR($K$41="AIR ?",$F$25="W/CM ERROR",$F$24="CM ERROR"),"CM ERROR",IF($Q$46="AGG. ERROR","-",'6 Agg Analysis'!AT12)))</f>
        <v>CM ERROR</v>
      </c>
      <c r="S9" s="595" t="str">
        <f t="shared" si="1"/>
        <v>-</v>
      </c>
      <c r="V9" s="86" t="s">
        <v>178</v>
      </c>
      <c r="W9" s="87">
        <f>'2 Aggregate System'!B17</f>
        <v>0</v>
      </c>
      <c r="X9" s="87">
        <f>'2 Aggregate System'!D17</f>
        <v>0</v>
      </c>
      <c r="Y9" s="88">
        <f>'2 Aggregate System'!F17</f>
        <v>0</v>
      </c>
      <c r="Z9" s="86" t="str">
        <f t="shared" si="2"/>
        <v>Source ID #?</v>
      </c>
      <c r="AA9" s="87" t="str">
        <f>IF(AND(W9&gt;0,Y9=0),"Test #?",IF(AND(W9=0,Y9=0),"-",Y9))</f>
        <v>-</v>
      </c>
      <c r="AB9" s="88" t="str">
        <f t="shared" si="3"/>
        <v>-</v>
      </c>
    </row>
    <row r="10" spans="1:28" ht="16.5" thickBot="1" x14ac:dyDescent="0.3">
      <c r="C10" s="596" t="s">
        <v>178</v>
      </c>
      <c r="D10" s="600">
        <f>'2 Aggregate System'!I17</f>
        <v>0</v>
      </c>
      <c r="E10" s="596">
        <f>IF(AND('2 Aggregate System'!$F$26=0,K25&gt;0),"GRAD. ?",IF(AND('4 Mix Design'!D18&gt;0,D10=0),"SG?",D10))</f>
        <v>0</v>
      </c>
      <c r="F10" s="601">
        <f>IF(AND('2 Aggregate System'!$F$26=0,Q25&gt;0),"GRAD. ?",IF(AND('Optimize Tool'!D11&gt;0,D10=0),"SG?",D10))</f>
        <v>0</v>
      </c>
      <c r="I10" s="77" t="s">
        <v>38</v>
      </c>
      <c r="J10" s="595">
        <v>4</v>
      </c>
      <c r="K10" s="595">
        <v>20</v>
      </c>
      <c r="L10" s="656" t="str">
        <f>IF(AND($K$21=0,$K$22=0,$K$23=0,$K$24=0,$K$25=0),"-",IF(OR($K$41="AIR ?",$F$25="W/CM ERROR",$F$24="CM ERROR"),"CM ERROR",IF($K$46="AGG. ERROR","-",'6 Agg Analysis'!AJ30)))</f>
        <v>-</v>
      </c>
      <c r="M10" s="595" t="str">
        <f t="shared" si="0"/>
        <v>-</v>
      </c>
      <c r="O10" s="741" t="s">
        <v>38</v>
      </c>
      <c r="P10" s="595">
        <v>4</v>
      </c>
      <c r="Q10" s="595">
        <v>20</v>
      </c>
      <c r="R10" s="603" t="str">
        <f>IF(AND($R$21=0,$R$22=0,$R$23=0,$R$24=0,$R$25=0),"-",IF(OR($K$41="AIR ?",$F$25="W/CM ERROR",$F$24="CM ERROR"),"CM ERROR",IF($Q$46="AGG. ERROR","-",'6 Agg Analysis'!AT13)))</f>
        <v>CM ERROR</v>
      </c>
      <c r="S10" s="595" t="str">
        <f t="shared" si="1"/>
        <v>-</v>
      </c>
    </row>
    <row r="11" spans="1:28" ht="16.5" thickBot="1" x14ac:dyDescent="0.3">
      <c r="C11" s="608" t="s">
        <v>67</v>
      </c>
      <c r="D11" s="597">
        <f>'3 Paste Quality'!E13</f>
        <v>0</v>
      </c>
      <c r="E11" s="130">
        <f>IF($F$30="ERROR: &gt;30%","CM ERROR",IF(AND('4 Mix Design'!D19&gt;0,'7 Calculation Check'!D11=0),"SG?",D11))</f>
        <v>0</v>
      </c>
      <c r="F11" s="131">
        <f>IF($F$30="ERROR: &gt;30%","CM ERROR",IF(AND('4 Mix Design'!E19&gt;0,'7 Calculation Check'!D11=0),"SG?",D11))</f>
        <v>0</v>
      </c>
      <c r="I11" s="77" t="s">
        <v>39</v>
      </c>
      <c r="J11" s="595">
        <v>4</v>
      </c>
      <c r="K11" s="595">
        <v>20</v>
      </c>
      <c r="L11" s="656" t="str">
        <f>IF(AND($K$21=0,$K$22=0,$K$23=0,$K$24=0,$K$25=0),"-",IF(OR($K$41="AIR ?",$F$25="W/CM ERROR",$F$24="CM ERROR"),"CM ERROR",IF($K$46="AGG. ERROR","-",'6 Agg Analysis'!AJ31)))</f>
        <v>-</v>
      </c>
      <c r="M11" s="595" t="str">
        <f t="shared" si="0"/>
        <v>-</v>
      </c>
      <c r="O11" s="741" t="s">
        <v>39</v>
      </c>
      <c r="P11" s="595">
        <v>4</v>
      </c>
      <c r="Q11" s="595">
        <v>20</v>
      </c>
      <c r="R11" s="603" t="str">
        <f>IF(AND($R$21=0,$R$22=0,$R$23=0,$R$24=0,$R$25=0),"-",IF(OR($K$41="AIR ?",$F$25="W/CM ERROR",$F$24="CM ERROR"),"CM ERROR",IF($Q$46="AGG. ERROR","-",'6 Agg Analysis'!AT14)))</f>
        <v>CM ERROR</v>
      </c>
      <c r="S11" s="595" t="str">
        <f t="shared" si="1"/>
        <v>-</v>
      </c>
      <c r="V11" s="1021" t="s">
        <v>317</v>
      </c>
      <c r="W11" s="1314"/>
      <c r="X11" s="1314"/>
      <c r="Y11" s="1314"/>
      <c r="Z11" s="1314"/>
      <c r="AA11" s="1314"/>
      <c r="AB11" s="1022"/>
    </row>
    <row r="12" spans="1:28" ht="16.5" thickBot="1" x14ac:dyDescent="0.3">
      <c r="C12" s="595" t="s">
        <v>283</v>
      </c>
      <c r="D12" s="598">
        <f>'3 Paste Quality'!E14</f>
        <v>0</v>
      </c>
      <c r="E12" s="595" t="str">
        <f>IF(D12=0,"-",IF($F$30="ERROR: &gt;30%","CM ERROR",IF(AND('4 Mix Design'!D20&gt;0,'7 Calculation Check'!D12=0),"SG?",D12)))</f>
        <v>-</v>
      </c>
      <c r="F12" s="738">
        <f>IF($F$30="ERROR: &gt;30%","CM ERROR",IF(AND('4 Mix Design'!E20&gt;0,'7 Calculation Check'!D12=0),"SG?",D12))</f>
        <v>0</v>
      </c>
      <c r="I12" s="77" t="s">
        <v>40</v>
      </c>
      <c r="J12" s="595">
        <v>0</v>
      </c>
      <c r="K12" s="595">
        <v>12</v>
      </c>
      <c r="L12" s="656" t="str">
        <f>IF(AND($K$21=0,$K$22=0,$K$23=0,$K$24=0,$K$25=0),"-",IF(OR($K$41="AIR ?",$F$25="W/CM ERROR",$F$24="CM ERROR"),"CM ERROR",IF($K$46="AGG. ERROR","-",'6 Agg Analysis'!AJ32)))</f>
        <v>-</v>
      </c>
      <c r="M12" s="595" t="str">
        <f t="shared" si="0"/>
        <v>-</v>
      </c>
      <c r="O12" s="741" t="s">
        <v>40</v>
      </c>
      <c r="P12" s="595">
        <v>0</v>
      </c>
      <c r="Q12" s="595">
        <v>12</v>
      </c>
      <c r="R12" s="603" t="str">
        <f>IF(AND($R$21=0,$R$22=0,$R$23=0,$R$24=0,$R$25=0),"-",IF(OR($K$41="AIR ?",$F$25="W/CM ERROR",$F$24="CM ERROR"),"CM ERROR",IF($Q$46="AGG. ERROR","-",'6 Agg Analysis'!AT15)))</f>
        <v>CM ERROR</v>
      </c>
      <c r="S12" s="595" t="str">
        <f t="shared" si="1"/>
        <v>-</v>
      </c>
      <c r="V12" s="1021" t="s">
        <v>315</v>
      </c>
      <c r="W12" s="1314"/>
      <c r="X12" s="1314"/>
      <c r="Y12" s="1022"/>
      <c r="Z12" s="924" t="s">
        <v>278</v>
      </c>
      <c r="AA12" s="1314"/>
      <c r="AB12" s="1022"/>
    </row>
    <row r="13" spans="1:28" ht="15.75" x14ac:dyDescent="0.25">
      <c r="C13" s="595" t="s">
        <v>72</v>
      </c>
      <c r="D13" s="598">
        <f>'3 Paste Quality'!E15</f>
        <v>0</v>
      </c>
      <c r="E13" s="595" t="str">
        <f>IF(D13=0,"-",IF($F$30="ERROR: &gt;30%","CM ERROR",IF(AND('4 Mix Design'!D21&gt;0,'7 Calculation Check'!D13=0),"SG?",D13)))</f>
        <v>-</v>
      </c>
      <c r="F13" s="738">
        <f>IF($F$30="ERROR: &gt;30%","CM ERROR",IF(AND('4 Mix Design'!E21&gt;0,'7 Calculation Check'!D13=0),"SG?",D13))</f>
        <v>0</v>
      </c>
      <c r="I13" s="77" t="s">
        <v>41</v>
      </c>
      <c r="J13" s="595">
        <v>0</v>
      </c>
      <c r="K13" s="595">
        <v>12</v>
      </c>
      <c r="L13" s="656" t="str">
        <f>IF(AND($K$21=0,$K$22=0,$K$23=0,$K$24=0,$K$25=0),"-",IF(OR($K$41="AIR ?",$F$25="W/CM ERROR",$F$24="CM ERROR"),"CM ERROR",IF($K$46="AGG. ERROR","-",'6 Agg Analysis'!AJ33)))</f>
        <v>-</v>
      </c>
      <c r="M13" s="595" t="str">
        <f t="shared" si="0"/>
        <v>-</v>
      </c>
      <c r="O13" s="741" t="s">
        <v>41</v>
      </c>
      <c r="P13" s="595">
        <v>0</v>
      </c>
      <c r="Q13" s="595">
        <v>12</v>
      </c>
      <c r="R13" s="603" t="str">
        <f>IF(AND($R$21=0,$R$22=0,$R$23=0,$R$24=0,$R$25=0),"-",IF(OR($K$41="AIR ?",$F$25="W/CM ERROR",$F$24="CM ERROR"),"CM ERROR",IF($Q$46="AGG. ERROR","-",'6 Agg Analysis'!AT16)))</f>
        <v>CM ERROR</v>
      </c>
      <c r="S13" s="595" t="str">
        <f t="shared" si="1"/>
        <v>-</v>
      </c>
      <c r="V13" s="734" t="s">
        <v>23</v>
      </c>
      <c r="W13" s="735" t="s">
        <v>63</v>
      </c>
      <c r="X13" s="735" t="s">
        <v>64</v>
      </c>
      <c r="Y13" s="736" t="s">
        <v>318</v>
      </c>
      <c r="Z13" s="94" t="s">
        <v>63</v>
      </c>
      <c r="AA13" s="735" t="s">
        <v>64</v>
      </c>
      <c r="AB13" s="736" t="s">
        <v>318</v>
      </c>
    </row>
    <row r="14" spans="1:28" ht="15.75" x14ac:dyDescent="0.25">
      <c r="C14" s="595" t="s">
        <v>206</v>
      </c>
      <c r="D14" s="598">
        <f>'3 Paste Quality'!E16</f>
        <v>0</v>
      </c>
      <c r="E14" s="595" t="str">
        <f>IF(D14=0,"-",IF($F$30="ERROR: &gt;30%","CM ERROR",IF(AND('4 Mix Design'!D22&gt;0,'7 Calculation Check'!D14=0),"SG?",D14)))</f>
        <v>-</v>
      </c>
      <c r="F14" s="738">
        <f>IF($F$30="ERROR: &gt;30%","CM ERROR",IF(AND('4 Mix Design'!E22&gt;0,'7 Calculation Check'!D14=0),"SG?",D14))</f>
        <v>0</v>
      </c>
      <c r="I14" s="77" t="s">
        <v>42</v>
      </c>
      <c r="J14" s="595">
        <v>4</v>
      </c>
      <c r="K14" s="595">
        <v>20</v>
      </c>
      <c r="L14" s="656" t="str">
        <f>IF(AND($K$21=0,$K$22=0,$K$23=0,$K$24=0,$K$25=0),"-",IF(OR($K$41="AIR ?",$F$25="W/CM ERROR",$F$24="CM ERROR"),"CM ERROR",IF($K$46="AGG. ERROR","-",'6 Agg Analysis'!AJ34)))</f>
        <v>-</v>
      </c>
      <c r="M14" s="595" t="str">
        <f t="shared" si="0"/>
        <v>-</v>
      </c>
      <c r="O14" s="741" t="s">
        <v>42</v>
      </c>
      <c r="P14" s="595">
        <v>4</v>
      </c>
      <c r="Q14" s="595">
        <v>20</v>
      </c>
      <c r="R14" s="603" t="str">
        <f>IF(AND($R$21=0,$R$22=0,$R$23=0,$R$24=0,$R$25=0),"-",IF(OR($K$41="AIR ?",$F$25="W/CM ERROR",$F$24="CM ERROR"),"CM ERROR",IF($Q$46="AGG. ERROR","-",'6 Agg Analysis'!AT17)))</f>
        <v>CM ERROR</v>
      </c>
      <c r="S14" s="595" t="str">
        <f t="shared" si="1"/>
        <v>-</v>
      </c>
      <c r="V14" s="85" t="s">
        <v>67</v>
      </c>
      <c r="W14" s="580">
        <f>'3 Paste Quality'!B13</f>
        <v>0</v>
      </c>
      <c r="X14" s="580">
        <f>'3 Paste Quality'!C13</f>
        <v>0</v>
      </c>
      <c r="Y14" s="737">
        <f>'3 Paste Quality'!D13</f>
        <v>0</v>
      </c>
      <c r="Z14" s="95" t="str">
        <f>IF(AND(W14=0,X14=0,Y14=0),"Cement?",IF(AND(W14=0,X14&gt;0,Y14&gt;0),"Manufacturer?",IF(AND(W14=0,X14=0,Y14&gt;0),"Manufacturer?",IF(AND(W14=0,X14&gt;0,Y14=0),"Manufacturer?",W14))))</f>
        <v>Cement?</v>
      </c>
      <c r="AA14" s="580" t="str">
        <f>IF(AND(W14=0,X14=0,Y14=0),"Cement?",IF(AND(W14&gt;0,X14=0,Y14&gt;0),"Source?",IF(AND(W14&gt;0,X14=0,Y14=0),"Source?",IF(AND(W14=0,X14=0,Y14&gt;0),"Source?",X14))))</f>
        <v>Cement?</v>
      </c>
      <c r="AB14" s="737" t="str">
        <f>IF(AND(W14=0,X14=0,Y14=0),"Cement?",IF(AND(W14&gt;0,X14&gt;0,Y14=0),"Classification?",IF(AND(W14&gt;0,X14=0,Y14=0),"Classification?",IF(AND(W14=0,X14&gt;0,Y14=0),"Classification?",Y14))))</f>
        <v>Cement?</v>
      </c>
    </row>
    <row r="15" spans="1:28" ht="16.5" thickBot="1" x14ac:dyDescent="0.3">
      <c r="C15" s="596" t="s">
        <v>208</v>
      </c>
      <c r="D15" s="600">
        <f>'3 Paste Quality'!E17</f>
        <v>0</v>
      </c>
      <c r="E15" s="596" t="str">
        <f>IF(D15=0,"-",IF($F$30="ERROR: &gt;30%","CM ERROR",IF(AND('4 Mix Design'!D23&gt;0,'7 Calculation Check'!D15=0),"SG?",D15)))</f>
        <v>-</v>
      </c>
      <c r="F15" s="601">
        <f>IF($F$30="ERROR: &gt;30%","CM ERROR",IF(AND('4 Mix Design'!E23&gt;0,'7 Calculation Check'!D15=0),"SG?",D15))</f>
        <v>0</v>
      </c>
      <c r="I15" s="77" t="s">
        <v>43</v>
      </c>
      <c r="J15" s="595">
        <v>4</v>
      </c>
      <c r="K15" s="595">
        <v>20</v>
      </c>
      <c r="L15" s="656" t="str">
        <f>IF(AND($K$21=0,$K$22=0,$K$23=0,$K$24=0,$K$25=0),"-",IF(OR($K$41="AIR ?",$F$25="W/CM ERROR",$F$24="CM ERROR"),"CM ERROR",IF($K$46="AGG. ERROR","-",'6 Agg Analysis'!AJ35)))</f>
        <v>-</v>
      </c>
      <c r="M15" s="595" t="str">
        <f t="shared" si="0"/>
        <v>-</v>
      </c>
      <c r="O15" s="741" t="s">
        <v>43</v>
      </c>
      <c r="P15" s="595">
        <v>4</v>
      </c>
      <c r="Q15" s="595">
        <v>20</v>
      </c>
      <c r="R15" s="603" t="str">
        <f>IF(AND($R$21=0,$R$22=0,$R$23=0,$R$24=0,$R$25=0),"-",IF(OR($K$41="AIR ?",$F$25="W/CM ERROR",$F$24="CM ERROR"),"CM ERROR",IF($Q$46="AGG. ERROR","-",'6 Agg Analysis'!AT18)))</f>
        <v>CM ERROR</v>
      </c>
      <c r="S15" s="595" t="str">
        <f t="shared" si="1"/>
        <v>-</v>
      </c>
      <c r="V15" s="85" t="s">
        <v>68</v>
      </c>
      <c r="W15" s="580">
        <f>'3 Paste Quality'!B14</f>
        <v>0</v>
      </c>
      <c r="X15" s="580">
        <f>'3 Paste Quality'!C14</f>
        <v>0</v>
      </c>
      <c r="Y15" s="737">
        <f>'3 Paste Quality'!D14</f>
        <v>0</v>
      </c>
      <c r="Z15" s="95" t="str">
        <f>IF(AND(W15=0,X15=0,Y15=0),"-",IF(AND(W15=0,X15&gt;0,Y15&gt;0),"Manufacturer?",IF(AND(W15=0,X15=0,Y15&gt;0),"Manufacturer?",IF(AND(W15=0,X15&gt;0,Y15=0),"Manufacturer?",W15))))</f>
        <v>-</v>
      </c>
      <c r="AA15" s="580" t="str">
        <f>IF(AND(W15=0,X15=0,Y15=0),"-",IF(AND(W15&gt;0,X15=0,Y15&gt;0),"Source?",IF(AND(W15&gt;0,X15=0,Y15=0),"Source?",IF(AND(W15=0,X15=0,Y15&gt;0),"Source?",X15))))</f>
        <v>-</v>
      </c>
      <c r="AB15" s="737" t="str">
        <f>IF(AND(W15=0,X15=0,Y15=0),"-",IF(AND(W15&gt;0,X15&gt;0,Y15=0),"Classification?",IF(AND(W15&gt;0,X15=0,Y15=0),"Classification?",IF(AND(W15=0,X15&gt;0,Y15=0),"Classification?",Y15))))</f>
        <v>-</v>
      </c>
    </row>
    <row r="16" spans="1:28" ht="16.5" thickBot="1" x14ac:dyDescent="0.3">
      <c r="I16" s="77" t="s">
        <v>44</v>
      </c>
      <c r="J16" s="595">
        <v>0</v>
      </c>
      <c r="K16" s="595">
        <v>10</v>
      </c>
      <c r="L16" s="656" t="str">
        <f>IF(AND($K$21=0,$K$22=0,$K$23=0,$K$24=0,$K$25=0),"-",IF(OR($K$41="AIR ?",$F$25="W/CM ERROR",$F$24="CM ERROR"),"CM ERROR",IF($K$46="AGG. ERROR","-",'6 Agg Analysis'!AJ36)))</f>
        <v>-</v>
      </c>
      <c r="M16" s="595" t="str">
        <f t="shared" si="0"/>
        <v>-</v>
      </c>
      <c r="O16" s="741" t="s">
        <v>44</v>
      </c>
      <c r="P16" s="595">
        <v>0</v>
      </c>
      <c r="Q16" s="595">
        <v>10</v>
      </c>
      <c r="R16" s="603" t="str">
        <f>IF(AND($R$21=0,$R$22=0,$R$23=0,$R$24=0,$R$25=0),"-",IF(OR($K$41="AIR ?",$F$25="W/CM ERROR",$F$24="CM ERROR"),"CM ERROR",IF($Q$46="AGG. ERROR","-",'6 Agg Analysis'!AT19)))</f>
        <v>CM ERROR</v>
      </c>
      <c r="S16" s="595" t="str">
        <f t="shared" si="1"/>
        <v>-</v>
      </c>
      <c r="V16" s="85" t="s">
        <v>72</v>
      </c>
      <c r="W16" s="580">
        <f>'3 Paste Quality'!B15</f>
        <v>0</v>
      </c>
      <c r="X16" s="580">
        <f>'3 Paste Quality'!C15</f>
        <v>0</v>
      </c>
      <c r="Y16" s="737">
        <f>'3 Paste Quality'!D15</f>
        <v>0</v>
      </c>
      <c r="Z16" s="95" t="str">
        <f>IF(AND(W16=0,X16=0,Y16=0),"-",IF(AND(W16=0,X16&gt;0,Y16&gt;0),"Manufacturer?",IF(AND(W16=0,X16=0,Y16&gt;0),"Manufacturer?",IF(AND(W16=0,X16&gt;0,Y16=0),"Manufacturer?",W16))))</f>
        <v>-</v>
      </c>
      <c r="AA16" s="580" t="str">
        <f>IF(AND(W16=0,X16=0,Y16=0),"-",IF(AND(W16&gt;0,X16=0,Y16&gt;0),"Source?",IF(AND(W16&gt;0,X16=0,Y16=0),"Source?",IF(AND(W16=0,X16=0,Y16&gt;0),"Source?",X16))))</f>
        <v>-</v>
      </c>
      <c r="AB16" s="737" t="str">
        <f>IF(AND(W16=0,X16=0,Y16=0),"-",IF(AND(W16&gt;0,X16&gt;0,Y16=0),"Classification?",IF(AND(W16&gt;0,X16=0,Y16=0),"Classification?",IF(AND(W16=0,X16&gt;0,Y16=0),"Classification?",Y16))))</f>
        <v>-</v>
      </c>
    </row>
    <row r="17" spans="3:28" ht="16.5" thickBot="1" x14ac:dyDescent="0.3">
      <c r="C17" s="1023" t="s">
        <v>265</v>
      </c>
      <c r="D17" s="1379"/>
      <c r="E17" s="1380"/>
      <c r="I17" s="78" t="s">
        <v>45</v>
      </c>
      <c r="J17" s="596">
        <v>0</v>
      </c>
      <c r="K17" s="596">
        <v>5</v>
      </c>
      <c r="L17" s="617" t="str">
        <f>IF(AND($K$21=0,$K$22=0,$K$23=0,$K$24=0,$K$25=0),"-",IF(OR($K$41="AIR ?",$F$25="W/CM ERROR",$F$24="CM ERROR"),"CM ERROR",IF($K$46="AGG. ERROR","-",'6 Agg Analysis'!AJ37)))</f>
        <v>-</v>
      </c>
      <c r="M17" s="596" t="str">
        <f t="shared" si="0"/>
        <v>-</v>
      </c>
      <c r="O17" s="763" t="s">
        <v>45</v>
      </c>
      <c r="P17" s="596">
        <v>0</v>
      </c>
      <c r="Q17" s="596">
        <v>5</v>
      </c>
      <c r="R17" s="602" t="str">
        <f>IF(AND($R$21=0,$R$22=0,$R$23=0,$R$24=0,$R$25=0),"-",IF(OR($K$41="AIR ?",$F$25="W/CM ERROR",$F$24="CM ERROR"),"CM ERROR",IF($Q$46="AGG. ERROR","-",'6 Agg Analysis'!AT20)))</f>
        <v>CM ERROR</v>
      </c>
      <c r="S17" s="596" t="str">
        <f t="shared" si="1"/>
        <v>-</v>
      </c>
      <c r="V17" s="85" t="s">
        <v>206</v>
      </c>
      <c r="W17" s="580">
        <f>'3 Paste Quality'!B16</f>
        <v>0</v>
      </c>
      <c r="X17" s="580">
        <f>'3 Paste Quality'!C16</f>
        <v>0</v>
      </c>
      <c r="Y17" s="737">
        <f>'3 Paste Quality'!D16</f>
        <v>0</v>
      </c>
      <c r="Z17" s="95" t="str">
        <f>IF(AND(W17=0,X17=0,Y17=0),"-",IF(AND(W17=0,X17&gt;0,Y17&gt;0),"Manufacturer?",IF(AND(W17=0,X17=0,Y17&gt;0),"Manufacturer?",IF(AND(W17=0,X17&gt;0,Y17=0),"Manufacturer?",W17))))</f>
        <v>-</v>
      </c>
      <c r="AA17" s="580" t="str">
        <f>IF(AND(W17=0,X17=0,Y17=0),"-",IF(AND(W17&gt;0,X17=0,Y17&gt;0),"Source?",IF(AND(W17&gt;0,X17=0,Y17=0),"Source?",IF(AND(W17=0,X17=0,Y17&gt;0),"Source?",X17))))</f>
        <v>-</v>
      </c>
      <c r="AB17" s="737" t="str">
        <f>IF(AND(W17=0,X17=0,Y17=0),"-",IF(AND(W17&gt;0,X17&gt;0,Y17=0),"Classification?",IF(AND(W17&gt;0,X17=0,Y17=0),"Classification?",IF(AND(W17=0,X17&gt;0,Y17=0),"Classification?",Y17))))</f>
        <v>-</v>
      </c>
    </row>
    <row r="18" spans="3:28" ht="16.5" thickBot="1" x14ac:dyDescent="0.3">
      <c r="C18" s="130" t="s">
        <v>163</v>
      </c>
      <c r="D18" s="130" t="s">
        <v>315</v>
      </c>
      <c r="E18" s="130" t="s">
        <v>278</v>
      </c>
      <c r="I18" s="79"/>
      <c r="V18" s="86" t="s">
        <v>208</v>
      </c>
      <c r="W18" s="87">
        <f>'3 Paste Quality'!B17</f>
        <v>0</v>
      </c>
      <c r="X18" s="87">
        <f>'3 Paste Quality'!C17</f>
        <v>0</v>
      </c>
      <c r="Y18" s="88">
        <f>'3 Paste Quality'!D17</f>
        <v>0</v>
      </c>
      <c r="Z18" s="96" t="str">
        <f>IF(AND(W18=0,X18=0,Y18=0),"-",IF(AND(W18=0,X18&gt;0,Y18&gt;0),"Manufacturer?",IF(AND(W18=0,X18=0,Y18&gt;0),"Manufacturer?",IF(AND(W18=0,X18&gt;0,Y18=0),"Manufacturer?",W18))))</f>
        <v>-</v>
      </c>
      <c r="AA18" s="87" t="str">
        <f>IF(AND(W18=0,X18=0,Y18=0),"-",IF(AND(W18&gt;0,X18=0,Y18&gt;0),"Source?",IF(AND(W18&gt;0,X18=0,Y18=0),"Source?",IF(AND(W18=0,X18=0,Y18&gt;0),"Source?",X18))))</f>
        <v>-</v>
      </c>
      <c r="AB18" s="88" t="str">
        <f>IF(AND(W18=0,X18=0,Y18=0),"-",IF(AND(W18&gt;0,X18&gt;0,Y18=0),"Classification?",IF(AND(W18&gt;0,X18=0,Y18=0),"Classification?",IF(AND(W18=0,X18&gt;0,Y18=0),"Classification?",Y18))))</f>
        <v>-</v>
      </c>
    </row>
    <row r="19" spans="3:28" ht="16.5" thickBot="1" x14ac:dyDescent="0.3">
      <c r="C19" s="596" t="s">
        <v>266</v>
      </c>
      <c r="D19" s="596">
        <f>'3 Paste Quality'!C25</f>
        <v>0</v>
      </c>
      <c r="E19" s="596" t="str">
        <f>_xlfn.CONCAT(D19," - ","OAG")</f>
        <v>0 - OAG</v>
      </c>
      <c r="I19" s="1383" t="s">
        <v>431</v>
      </c>
      <c r="J19" s="1384"/>
      <c r="K19" s="1384"/>
      <c r="L19" s="1384"/>
      <c r="M19" s="1385"/>
      <c r="N19" s="93"/>
      <c r="O19" s="1386" t="s">
        <v>430</v>
      </c>
      <c r="P19" s="1387"/>
      <c r="Q19" s="1387"/>
      <c r="R19" s="1387"/>
      <c r="S19" s="1387"/>
      <c r="T19" s="1388"/>
    </row>
    <row r="20" spans="3:28" ht="15.75" thickBot="1" x14ac:dyDescent="0.3">
      <c r="C20" s="117" t="s">
        <v>458</v>
      </c>
      <c r="D20" s="739">
        <f>'3 Paste Quality'!C26</f>
        <v>0</v>
      </c>
      <c r="I20" s="82" t="s">
        <v>79</v>
      </c>
      <c r="J20" s="83" t="s">
        <v>182</v>
      </c>
      <c r="K20" s="83" t="s">
        <v>181</v>
      </c>
      <c r="L20" s="83" t="s">
        <v>282</v>
      </c>
      <c r="M20" s="84" t="s">
        <v>278</v>
      </c>
      <c r="O20" s="82" t="s">
        <v>79</v>
      </c>
      <c r="P20" s="83" t="s">
        <v>182</v>
      </c>
      <c r="Q20" s="83" t="s">
        <v>407</v>
      </c>
      <c r="R20" s="83" t="s">
        <v>181</v>
      </c>
      <c r="S20" s="83" t="s">
        <v>282</v>
      </c>
      <c r="T20" s="84" t="s">
        <v>278</v>
      </c>
      <c r="V20" s="1023" t="s">
        <v>319</v>
      </c>
      <c r="W20" s="1379"/>
      <c r="X20" s="1379"/>
      <c r="Y20" s="1379"/>
      <c r="Z20" s="1379"/>
      <c r="AA20" s="1380"/>
    </row>
    <row r="21" spans="3:28" ht="15.75" thickBot="1" x14ac:dyDescent="0.3">
      <c r="I21" s="85" t="s">
        <v>158</v>
      </c>
      <c r="J21" s="580" t="str">
        <f>IF(E6=0,"-",E6)</f>
        <v>-</v>
      </c>
      <c r="K21" s="75">
        <f>'4 Mix Design'!D14</f>
        <v>0</v>
      </c>
      <c r="L21" s="580" t="str">
        <f>IFERROR(K21/(62.4*'7 Calculation Check'!J21),"-")</f>
        <v>-</v>
      </c>
      <c r="M21" s="737" t="str">
        <f>IF(L21=0,"-",IF(J21="SG?","AGG. ERROR",L21))</f>
        <v>-</v>
      </c>
      <c r="O21" s="85" t="s">
        <v>158</v>
      </c>
      <c r="P21" s="580" t="str">
        <f>IF(F6=0,"-",F6)</f>
        <v>-</v>
      </c>
      <c r="Q21" s="81">
        <f>'Optimize Tool'!D7</f>
        <v>0</v>
      </c>
      <c r="R21" s="580" t="str">
        <f>IF(Q21=0,"-",(Q21/100)*'Optimize Tool'!$D$12)</f>
        <v>-</v>
      </c>
      <c r="S21" s="580">
        <f>IFERROR(R21/(62.4*'7 Calculation Check'!P21),0)</f>
        <v>0</v>
      </c>
      <c r="T21" s="737" t="str">
        <f>IF(S21=0,"-",IF(P21="SG?","AGG. ERROR",S21))</f>
        <v>-</v>
      </c>
      <c r="V21" s="1023" t="s">
        <v>315</v>
      </c>
      <c r="W21" s="1379"/>
      <c r="X21" s="1380"/>
      <c r="Y21" s="1023" t="s">
        <v>278</v>
      </c>
      <c r="Z21" s="1379"/>
      <c r="AA21" s="1380"/>
    </row>
    <row r="22" spans="3:28" ht="15.6" customHeight="1" thickBot="1" x14ac:dyDescent="0.3">
      <c r="C22" s="1023" t="s">
        <v>410</v>
      </c>
      <c r="D22" s="1379"/>
      <c r="E22" s="1379"/>
      <c r="F22" s="1380"/>
      <c r="I22" s="85" t="s">
        <v>159</v>
      </c>
      <c r="J22" s="580" t="str">
        <f t="shared" ref="J22:J25" si="4">IF(E7=0,"-",E7)</f>
        <v>-</v>
      </c>
      <c r="K22" s="75">
        <f>'4 Mix Design'!D15</f>
        <v>0</v>
      </c>
      <c r="L22" s="580">
        <f>IFERROR(K22/(62.4*'7 Calculation Check'!J22),0)</f>
        <v>0</v>
      </c>
      <c r="M22" s="737" t="str">
        <f t="shared" ref="M22:M25" si="5">IF(L22=0,"-",IF(J22="SG?","AGG. ERROR",L22))</f>
        <v>-</v>
      </c>
      <c r="O22" s="85" t="s">
        <v>159</v>
      </c>
      <c r="P22" s="580" t="str">
        <f t="shared" ref="P22:P25" si="6">IF(F7=0,"-",F7)</f>
        <v>-</v>
      </c>
      <c r="Q22" s="81">
        <f>'Optimize Tool'!D8</f>
        <v>0</v>
      </c>
      <c r="R22" s="580" t="str">
        <f>IF(Q22=0,"-",(Q22/100)*'Optimize Tool'!$D$12)</f>
        <v>-</v>
      </c>
      <c r="S22" s="580">
        <f>IFERROR(R22/(62.4*'7 Calculation Check'!P22),0)</f>
        <v>0</v>
      </c>
      <c r="T22" s="737" t="str">
        <f t="shared" ref="T22:T25" si="7">IF(S22=0,"-",IF(P22="SG?","AGG. ERROR",S22))</f>
        <v>-</v>
      </c>
      <c r="V22" s="734" t="s">
        <v>446</v>
      </c>
      <c r="W22" s="735" t="s">
        <v>170</v>
      </c>
      <c r="X22" s="736" t="s">
        <v>171</v>
      </c>
      <c r="Y22" s="734" t="s">
        <v>446</v>
      </c>
      <c r="Z22" s="735" t="s">
        <v>170</v>
      </c>
      <c r="AA22" s="736" t="s">
        <v>171</v>
      </c>
    </row>
    <row r="23" spans="3:28" ht="15.75" thickBot="1" x14ac:dyDescent="0.3">
      <c r="C23" s="130" t="s">
        <v>79</v>
      </c>
      <c r="D23" s="614" t="s">
        <v>47</v>
      </c>
      <c r="E23" s="130" t="s">
        <v>315</v>
      </c>
      <c r="F23" s="130" t="s">
        <v>278</v>
      </c>
      <c r="I23" s="85" t="s">
        <v>176</v>
      </c>
      <c r="J23" s="580" t="str">
        <f t="shared" si="4"/>
        <v>-</v>
      </c>
      <c r="K23" s="75">
        <f>'4 Mix Design'!D16</f>
        <v>0</v>
      </c>
      <c r="L23" s="580">
        <f>IFERROR(K23/(62.4*'7 Calculation Check'!J23),0)</f>
        <v>0</v>
      </c>
      <c r="M23" s="737" t="str">
        <f t="shared" si="5"/>
        <v>-</v>
      </c>
      <c r="O23" s="85" t="s">
        <v>176</v>
      </c>
      <c r="P23" s="580" t="str">
        <f t="shared" si="6"/>
        <v>-</v>
      </c>
      <c r="Q23" s="81">
        <f>'Optimize Tool'!D9</f>
        <v>0</v>
      </c>
      <c r="R23" s="580" t="str">
        <f>IF(Q23=0,"-",(Q23/100)*'Optimize Tool'!$D$12)</f>
        <v>-</v>
      </c>
      <c r="S23" s="580">
        <f>IFERROR(R23/(62.4*'7 Calculation Check'!P23),0)</f>
        <v>0</v>
      </c>
      <c r="T23" s="737" t="str">
        <f t="shared" si="7"/>
        <v>-</v>
      </c>
      <c r="V23" s="86" t="str">
        <f>'3 Paste Quality'!C46</f>
        <v>Municipal</v>
      </c>
      <c r="W23" s="87">
        <f>'3 Paste Quality'!D46</f>
        <v>0</v>
      </c>
      <c r="X23" s="88">
        <f>'3 Paste Quality'!F46</f>
        <v>0</v>
      </c>
      <c r="Y23" s="86" t="str">
        <f>IF(V23=0,"Source Type?",V23)</f>
        <v>Municipal</v>
      </c>
      <c r="Z23" s="87" t="str">
        <f>IF(Y23="Source Type?","Source Type?",IF(W23=0,"Source Name?",W23))</f>
        <v>Source Name?</v>
      </c>
      <c r="AA23" s="88" t="str">
        <f>IF(Y23="Municipal","Not Applicable",IF(AND(X23=0,V23&lt;&gt;"Municipal"),"Test Number?",X23))</f>
        <v>Not Applicable</v>
      </c>
    </row>
    <row r="24" spans="3:28" ht="15.75" thickBot="1" x14ac:dyDescent="0.3">
      <c r="C24" s="595" t="s">
        <v>267</v>
      </c>
      <c r="D24" s="615">
        <f>'3 Paste Quality'!C27</f>
        <v>500</v>
      </c>
      <c r="E24" s="618">
        <f>'3 Paste Quality'!B31</f>
        <v>0</v>
      </c>
      <c r="F24" s="595" t="str" cm="1">
        <f t="array" ref="F24">IF(OR(M27:M30="CM ERROR",D36&gt;$F$29,'3 Paste Quality'!$B$31&lt;500,'3 Paste Quality'!$B$31="",'3 Paste Quality'!$B$31=0),"CM ERROR",E24)</f>
        <v>CM ERROR</v>
      </c>
      <c r="G24" s="620"/>
      <c r="I24" s="85" t="s">
        <v>177</v>
      </c>
      <c r="J24" s="580" t="str">
        <f t="shared" si="4"/>
        <v>-</v>
      </c>
      <c r="K24" s="75">
        <f>'4 Mix Design'!D17</f>
        <v>0</v>
      </c>
      <c r="L24" s="580">
        <f>IFERROR(K24/(62.4*'7 Calculation Check'!J24),0)</f>
        <v>0</v>
      </c>
      <c r="M24" s="737" t="str">
        <f t="shared" si="5"/>
        <v>-</v>
      </c>
      <c r="O24" s="85" t="s">
        <v>177</v>
      </c>
      <c r="P24" s="580" t="str">
        <f t="shared" si="6"/>
        <v>-</v>
      </c>
      <c r="Q24" s="81">
        <f>'Optimize Tool'!D10</f>
        <v>0</v>
      </c>
      <c r="R24" s="580" t="str">
        <f>IF(Q24=0,"-",(Q24/100)*'Optimize Tool'!$D$12)</f>
        <v>-</v>
      </c>
      <c r="S24" s="580">
        <f>IFERROR(R24/(62.4*'7 Calculation Check'!P24),0)</f>
        <v>0</v>
      </c>
      <c r="T24" s="737" t="str">
        <f t="shared" si="7"/>
        <v>-</v>
      </c>
    </row>
    <row r="25" spans="3:28" ht="15.75" thickBot="1" x14ac:dyDescent="0.3">
      <c r="C25" s="740" t="s">
        <v>70</v>
      </c>
      <c r="D25" s="616" t="str">
        <f>'3 Paste Quality'!$C$28</f>
        <v>GRADE?</v>
      </c>
      <c r="E25" s="619">
        <f>'3 Paste Quality'!B32</f>
        <v>0</v>
      </c>
      <c r="F25" s="619" t="str">
        <f>IF(OR('3 Paste Quality'!B32=0,'3 Paste Quality'!B32="",'3 Paste Quality'!B32&gt;D25),"W/CM ERROR",E25)</f>
        <v>W/CM ERROR</v>
      </c>
      <c r="I25" s="586" t="s">
        <v>178</v>
      </c>
      <c r="J25" s="580" t="str">
        <f t="shared" si="4"/>
        <v>-</v>
      </c>
      <c r="K25" s="612">
        <f>'4 Mix Design'!D18</f>
        <v>0</v>
      </c>
      <c r="L25" s="587">
        <f>IFERROR(K25/(62.4*'7 Calculation Check'!J25),0)</f>
        <v>0</v>
      </c>
      <c r="M25" s="589" t="str">
        <f t="shared" si="5"/>
        <v>-</v>
      </c>
      <c r="O25" s="586" t="s">
        <v>178</v>
      </c>
      <c r="P25" s="580" t="str">
        <f t="shared" si="6"/>
        <v>-</v>
      </c>
      <c r="Q25" s="588">
        <f>'Optimize Tool'!D11</f>
        <v>0</v>
      </c>
      <c r="R25" s="587" t="str">
        <f>IF(Q25=0,"-",(Q25/100)*'Optimize Tool'!$D$12)</f>
        <v>-</v>
      </c>
      <c r="S25" s="587">
        <f>IFERROR(R25/(62.4*'7 Calculation Check'!P25),0)</f>
        <v>0</v>
      </c>
      <c r="T25" s="589" t="str">
        <f t="shared" si="7"/>
        <v>-</v>
      </c>
      <c r="V25" s="1021" t="s">
        <v>322</v>
      </c>
      <c r="W25" s="1314"/>
      <c r="X25" s="1314"/>
      <c r="Y25" s="1314"/>
      <c r="Z25" s="1314"/>
      <c r="AA25" s="1314"/>
      <c r="AB25" s="1022"/>
    </row>
    <row r="26" spans="3:28" ht="15.75" thickBot="1" x14ac:dyDescent="0.3">
      <c r="C26" s="1023" t="s">
        <v>268</v>
      </c>
      <c r="D26" s="1380"/>
      <c r="E26" s="617">
        <f>'3 Paste Quality'!B33</f>
        <v>0</v>
      </c>
      <c r="I26" s="82" t="s">
        <v>67</v>
      </c>
      <c r="J26" s="83">
        <f>'3 Paste Quality'!E13</f>
        <v>0</v>
      </c>
      <c r="K26" s="83">
        <f>'3 Paste Quality'!$B$31-(D36/100)*'3 Paste Quality'!$B$31</f>
        <v>0</v>
      </c>
      <c r="L26" s="89">
        <f>IF(OR(J26=0,J26="-",K26=0,K26="-"),0,K26/(62.4*J26))</f>
        <v>0</v>
      </c>
      <c r="M26" s="84" t="str">
        <f>IF(L26=0,"-",IF('3 Paste Quality'!$B$31&lt;'7 Calculation Check'!$D$24,"CM ERROR",IF($F$30="ERROR: &gt;30%","ERROR: &gt;30%",L26)))</f>
        <v>-</v>
      </c>
      <c r="O26" s="82" t="s">
        <v>67</v>
      </c>
      <c r="P26" s="584" t="str">
        <f>IF(F11=0,"-",F11)</f>
        <v>-</v>
      </c>
      <c r="Q26" s="590"/>
      <c r="R26" s="83">
        <f>'3 Paste Quality'!$B$31-(D36/100)*'3 Paste Quality'!$B$31</f>
        <v>0</v>
      </c>
      <c r="S26" s="89">
        <f>IF(OR(P26=0,P26="",R26=0,R26=""),0,R26/(62.4*P26))</f>
        <v>0</v>
      </c>
      <c r="T26" s="84" t="str">
        <f>IF(S26=0,"-",IF('3 Paste Quality'!$B$31&lt;'7 Calculation Check'!$D$24,"CM ERROR",IF($F$30="ERROR: &gt;30%","ERROR: &gt;30%",S26)))</f>
        <v>-</v>
      </c>
      <c r="V26" s="1021" t="s">
        <v>315</v>
      </c>
      <c r="W26" s="1314"/>
      <c r="X26" s="1314"/>
      <c r="Y26" s="1022"/>
      <c r="Z26" s="924" t="s">
        <v>278</v>
      </c>
      <c r="AA26" s="1314"/>
      <c r="AB26" s="1022"/>
    </row>
    <row r="27" spans="3:28" ht="15.75" thickBot="1" x14ac:dyDescent="0.3">
      <c r="C27" s="1023" t="s">
        <v>166</v>
      </c>
      <c r="D27" s="1380"/>
      <c r="E27" s="605">
        <f>'3 Paste Quality'!B34</f>
        <v>0</v>
      </c>
      <c r="I27" s="85" t="s">
        <v>68</v>
      </c>
      <c r="J27" s="580">
        <f>'3 Paste Quality'!E14</f>
        <v>0</v>
      </c>
      <c r="K27" s="580" t="str">
        <f>IF(D32=0,"-",(D32/100)*'3 Paste Quality'!$B$31)</f>
        <v>-</v>
      </c>
      <c r="L27" s="81">
        <f t="shared" ref="L27:L30" si="8">IF(OR(J27=0,J27="-",K27=0,K27="-"),0,K27/(62.4*J27))</f>
        <v>0</v>
      </c>
      <c r="M27" s="737" t="str">
        <f>IF(L27=0,"-",IF('3 Paste Quality'!$B$31&lt;'7 Calculation Check'!$D$24,"CM ERROR",IF($F$30="ERROR: &gt;30%","ERROR: &gt;30%",L27)))</f>
        <v>-</v>
      </c>
      <c r="O27" s="85" t="s">
        <v>68</v>
      </c>
      <c r="P27" s="91" t="str">
        <f t="shared" ref="P27:P30" si="9">IF(F12=0,"-",F12)</f>
        <v>-</v>
      </c>
      <c r="Q27" s="591"/>
      <c r="R27" s="580" t="str">
        <f>IF(D32=0,"-",(D32/100)*'3 Paste Quality'!$B$31)</f>
        <v>-</v>
      </c>
      <c r="S27" s="81">
        <f>IF(OR(P27=0,P27="-",R27=0,R27="-"),0,R27/(62.4*P27))</f>
        <v>0</v>
      </c>
      <c r="T27" s="737" t="str">
        <f>IF(S27=0,"-",IF('3 Paste Quality'!$B$31&lt;'7 Calculation Check'!$D$24,"CM ERROR",IF($F$30="ERROR: &gt;30%","ERROR: &gt;30%",S27)))</f>
        <v>-</v>
      </c>
      <c r="V27" s="734" t="s">
        <v>325</v>
      </c>
      <c r="W27" s="735" t="s">
        <v>77</v>
      </c>
      <c r="X27" s="735" t="s">
        <v>271</v>
      </c>
      <c r="Y27" s="736" t="s">
        <v>323</v>
      </c>
      <c r="Z27" s="94" t="s">
        <v>63</v>
      </c>
      <c r="AA27" s="735" t="s">
        <v>271</v>
      </c>
      <c r="AB27" s="736" t="s">
        <v>318</v>
      </c>
    </row>
    <row r="28" spans="3:28" ht="15.75" thickBot="1" x14ac:dyDescent="0.3">
      <c r="I28" s="85" t="s">
        <v>72</v>
      </c>
      <c r="J28" s="580">
        <f>'3 Paste Quality'!E15</f>
        <v>0</v>
      </c>
      <c r="K28" s="580" t="str">
        <f>IF(D33=0,"-",(D33/100)*'3 Paste Quality'!$B$31)</f>
        <v>-</v>
      </c>
      <c r="L28" s="81">
        <f t="shared" si="8"/>
        <v>0</v>
      </c>
      <c r="M28" s="737" t="str">
        <f>IF(L28=0,"-",IF('3 Paste Quality'!$B$31&lt;'7 Calculation Check'!$D$24,"CM ERROR",IF($F$30="ERROR: &gt;30%","ERROR: &gt;30%",L28)))</f>
        <v>-</v>
      </c>
      <c r="O28" s="85" t="s">
        <v>72</v>
      </c>
      <c r="P28" s="91" t="str">
        <f t="shared" si="9"/>
        <v>-</v>
      </c>
      <c r="Q28" s="591"/>
      <c r="R28" s="580" t="str">
        <f>IF(D33=0,"-",(D33/100)*'3 Paste Quality'!$B$31)</f>
        <v>-</v>
      </c>
      <c r="S28" s="81">
        <f t="shared" ref="S28:S30" si="10">IF(OR(P28=0,P28="-",R28=0,R28="-"),0,R28/(62.4*P28))</f>
        <v>0</v>
      </c>
      <c r="T28" s="737" t="str">
        <f>IF(S28=0,"-",IF('3 Paste Quality'!$B$31&lt;'7 Calculation Check'!$D$24,"CM ERROR",IF($F$30="ERROR: &gt;30%","ERROR: &gt;30%",S28)))</f>
        <v>-</v>
      </c>
      <c r="V28" s="85">
        <v>1</v>
      </c>
      <c r="W28" s="580">
        <f>'3 Paste Quality'!B50</f>
        <v>0</v>
      </c>
      <c r="X28" s="580">
        <f>'3 Paste Quality'!D50</f>
        <v>0</v>
      </c>
      <c r="Y28" s="737">
        <f>'3 Paste Quality'!F50</f>
        <v>0</v>
      </c>
      <c r="Z28" s="95" t="str">
        <f>IF(AND(W28=0,X28=0,Y28=0),"-",IF(AND(W28=0,X28&gt;0,Y28&gt;0),"Name?",IF(AND(W28=0,X28=0,Y28&gt;0),"Name?",IF(AND(W28=0,X28&gt;0,Y28=0),"Name?",W28))))</f>
        <v>-</v>
      </c>
      <c r="AA28" s="580" t="str">
        <f>IF(AND(W28=0,X28=0,Y28=0),"-",IF(AND(W28&gt;0,X28=0,Y28&gt;0),"Type?",IF(AND(W28&gt;0,X28=0,Y28=0),"Type?",IF(AND(W28=0,X28=0,Y28&gt;0),"Type?",X28))))</f>
        <v>-</v>
      </c>
      <c r="AB28" s="737" t="str">
        <f>IF(AND(W28=0,X28=0,Y28=0),"-",IF(AND(W28&gt;0,X28&gt;0,Y28=0),"Dosage?",IF(AND(W28&gt;0,X28=0,Y28=0),"Dosage?",IF(AND(W28=0,X28&gt;0,Y28=0),"Dosage?",Y28))))</f>
        <v>-</v>
      </c>
    </row>
    <row r="29" spans="3:28" ht="15.75" thickBot="1" x14ac:dyDescent="0.3">
      <c r="C29" s="1021" t="s">
        <v>414</v>
      </c>
      <c r="D29" s="1022"/>
      <c r="E29" s="117" t="s">
        <v>416</v>
      </c>
      <c r="F29" s="623">
        <v>30</v>
      </c>
      <c r="I29" s="85" t="s">
        <v>206</v>
      </c>
      <c r="J29" s="580">
        <f>'3 Paste Quality'!E16</f>
        <v>0</v>
      </c>
      <c r="K29" s="580" t="str">
        <f>IF(D34=0,"-",(D34/100)*'3 Paste Quality'!$B$31)</f>
        <v>-</v>
      </c>
      <c r="L29" s="81">
        <f t="shared" si="8"/>
        <v>0</v>
      </c>
      <c r="M29" s="737" t="str">
        <f>IF(L29=0,"-",IF('3 Paste Quality'!$B$31&lt;'7 Calculation Check'!$D$24,"CM ERROR",IF($F$30="ERROR: &gt;30%","ERROR: &gt;30%",L29)))</f>
        <v>-</v>
      </c>
      <c r="O29" s="85" t="s">
        <v>206</v>
      </c>
      <c r="P29" s="91" t="str">
        <f t="shared" si="9"/>
        <v>-</v>
      </c>
      <c r="Q29" s="591"/>
      <c r="R29" s="580" t="str">
        <f>IF(D34=0,"-",(D34/100)*'3 Paste Quality'!$B$31)</f>
        <v>-</v>
      </c>
      <c r="S29" s="81">
        <f t="shared" si="10"/>
        <v>0</v>
      </c>
      <c r="T29" s="737" t="str">
        <f>IF(S29=0,"-",IF('3 Paste Quality'!$B$31&lt;'7 Calculation Check'!$D$24,"CM ERROR",IF($F$30="ERROR: &gt;30%","ERROR: &gt;30%",S29)))</f>
        <v>-</v>
      </c>
      <c r="V29" s="85">
        <v>2</v>
      </c>
      <c r="W29" s="580">
        <f>'3 Paste Quality'!B51</f>
        <v>0</v>
      </c>
      <c r="X29" s="580">
        <f>'3 Paste Quality'!D51</f>
        <v>0</v>
      </c>
      <c r="Y29" s="737">
        <f>'3 Paste Quality'!F51</f>
        <v>0</v>
      </c>
      <c r="Z29" s="95" t="str">
        <f>IF(AND(W29=0,X29=0,Y29=0),"-",IF(AND(W29=0,X29&gt;0,Y29&gt;0),"Name?",IF(AND(W29=0,X29=0,Y29&gt;0),"Name?",IF(AND(W29=0,X29&gt;0,Y29=0),"Name?",W29))))</f>
        <v>-</v>
      </c>
      <c r="AA29" s="580" t="str">
        <f>IF(AND(W29=0,X29=0,Y29=0),"-",IF(AND(W29&gt;0,X29=0,Y29&gt;0),"Type?",IF(AND(W29&gt;0,X29=0,Y29=0),"Type?",IF(AND(W29=0,X29=0,Y29&gt;0),"Type?",X29))))</f>
        <v>-</v>
      </c>
      <c r="AB29" s="737" t="str">
        <f>IF(AND(W29=0,X29=0,Y29=0),"-",IF(AND(W29&gt;0,X29&gt;0,Y29=0),"Dosage?",IF(AND(W29&gt;0,X29=0,Y29=0),"Dosage?",IF(AND(W29=0,X29&gt;0,Y29=0),"Dosage?",Y29))))</f>
        <v>-</v>
      </c>
    </row>
    <row r="30" spans="3:28" ht="15.75" thickBot="1" x14ac:dyDescent="0.3">
      <c r="C30" s="1376" t="s">
        <v>79</v>
      </c>
      <c r="D30" s="1377" t="s">
        <v>415</v>
      </c>
      <c r="E30" s="117" t="s">
        <v>278</v>
      </c>
      <c r="F30" s="117">
        <f>IF(D36&gt;$F$29,"ERROR: &gt;30%",D36)</f>
        <v>0</v>
      </c>
      <c r="G30" s="80"/>
      <c r="I30" s="86" t="s">
        <v>208</v>
      </c>
      <c r="J30" s="87">
        <f>'3 Paste Quality'!E17</f>
        <v>0</v>
      </c>
      <c r="K30" s="87" t="str">
        <f>IF(D35=0,"-",(D35/100)*'3 Paste Quality'!$B$31)</f>
        <v>-</v>
      </c>
      <c r="L30" s="90">
        <f t="shared" si="8"/>
        <v>0</v>
      </c>
      <c r="M30" s="88" t="str">
        <f>IF(L30=0,"-",IF('3 Paste Quality'!$B$31&lt;'7 Calculation Check'!$D$24,"CM ERROR",IF($F$30="ERROR: &gt;30%","ERROR: &gt;30%",L30)))</f>
        <v>-</v>
      </c>
      <c r="O30" s="86" t="s">
        <v>208</v>
      </c>
      <c r="P30" s="585" t="str">
        <f t="shared" si="9"/>
        <v>-</v>
      </c>
      <c r="Q30" s="592"/>
      <c r="R30" s="87" t="str">
        <f>IF(D35=0,"-",(D35/100)*'3 Paste Quality'!$B$31)</f>
        <v>-</v>
      </c>
      <c r="S30" s="90">
        <f t="shared" si="10"/>
        <v>0</v>
      </c>
      <c r="T30" s="88" t="str">
        <f>IF(S30=0,"-",IF('3 Paste Quality'!$B$31&lt;'7 Calculation Check'!$D$24,"CM ERROR",IF($F$30="ERROR: &gt;30%","ERROR: &gt;30%",S30)))</f>
        <v>-</v>
      </c>
      <c r="V30" s="85">
        <v>3</v>
      </c>
      <c r="W30" s="580">
        <f>'3 Paste Quality'!B52</f>
        <v>0</v>
      </c>
      <c r="X30" s="580">
        <f>'3 Paste Quality'!D52</f>
        <v>0</v>
      </c>
      <c r="Y30" s="737">
        <f>'3 Paste Quality'!F52</f>
        <v>0</v>
      </c>
      <c r="Z30" s="95" t="str">
        <f>IF(AND(W30=0,X30=0,Y30=0),"-",IF(AND(W30=0,X30&gt;0,Y30&gt;0),"Name?",IF(AND(W30=0,X30=0,Y30&gt;0),"Name?",IF(AND(W30=0,X30&gt;0,Y30=0),"Name?",W30))))</f>
        <v>-</v>
      </c>
      <c r="AA30" s="580" t="str">
        <f>IF(AND(W30=0,X30=0,Y30=0),"-",IF(AND(W30&gt;0,X30=0,Y30&gt;0),"Type?",IF(AND(W30&gt;0,X30=0,Y30=0),"Type?",IF(AND(W30=0,X30=0,Y30&gt;0),"Type?",X30))))</f>
        <v>-</v>
      </c>
      <c r="AB30" s="737" t="str">
        <f>IF(AND(W30=0,X30=0,Y30=0),"-",IF(AND(W30&gt;0,X30&gt;0,Y30=0),"Dosage?",IF(AND(W30&gt;0,X30=0,Y30=0),"Dosage?",IF(AND(W30=0,X30&gt;0,Y30=0),"Dosage?",Y30))))</f>
        <v>-</v>
      </c>
    </row>
    <row r="31" spans="3:28" ht="15.75" thickBot="1" x14ac:dyDescent="0.3">
      <c r="C31" s="1026"/>
      <c r="D31" s="1378"/>
      <c r="E31" s="117" t="s">
        <v>417</v>
      </c>
      <c r="F31" s="117" t="s">
        <v>312</v>
      </c>
      <c r="I31" s="734" t="s">
        <v>75</v>
      </c>
      <c r="J31" s="735">
        <v>1</v>
      </c>
      <c r="K31" s="735" t="str">
        <f>IF(F24="CM ERROR","CM ERROR",F24*E25)</f>
        <v>CM ERROR</v>
      </c>
      <c r="L31" s="735" t="e">
        <f>K31/(62.4)</f>
        <v>#VALUE!</v>
      </c>
      <c r="M31" s="736" t="str">
        <f>IF(OR(K31="CM ERROR",F25="W/CM ERROR"),"CM ERROR",L31)</f>
        <v>CM ERROR</v>
      </c>
      <c r="O31" s="734" t="s">
        <v>75</v>
      </c>
      <c r="P31" s="735">
        <v>1</v>
      </c>
      <c r="Q31" s="613"/>
      <c r="R31" s="606" t="str">
        <f>IF(F24="CM ERROR","CM ERROR",F24*E25)</f>
        <v>CM ERROR</v>
      </c>
      <c r="S31" s="735" t="e">
        <f>R31/(62.4)</f>
        <v>#VALUE!</v>
      </c>
      <c r="T31" s="736" t="str">
        <f>IF(OR(R31="CM ERROR",M21="W/CM ERROR"),"CM ERROR",S31)</f>
        <v>CM ERROR</v>
      </c>
      <c r="V31" s="86">
        <v>4</v>
      </c>
      <c r="W31" s="87">
        <f>'3 Paste Quality'!B53</f>
        <v>0</v>
      </c>
      <c r="X31" s="87">
        <f>'3 Paste Quality'!D53</f>
        <v>0</v>
      </c>
      <c r="Y31" s="88">
        <f>'3 Paste Quality'!F53</f>
        <v>0</v>
      </c>
      <c r="Z31" s="96" t="str">
        <f>IF(AND(W31=0,X31=0,Y31=0),"-",IF(AND(W31=0,X31&gt;0,Y31&gt;0),"Name?",IF(AND(W31=0,X31=0,Y31&gt;0),"Name?",IF(AND(W31=0,X31&gt;0,Y31=0),"Name?",W31))))</f>
        <v>-</v>
      </c>
      <c r="AA31" s="87" t="str">
        <f>IF(AND(W31=0,X31=0,Y31=0),"-",IF(AND(W31&gt;0,X31=0,Y31&gt;0),"Type?",IF(AND(W31&gt;0,X31=0,Y31=0),"Type?",IF(AND(W31=0,X31=0,Y31&gt;0),"Type?",X31))))</f>
        <v>-</v>
      </c>
      <c r="AB31" s="88" t="str">
        <f>IF(AND(W31=0,X31=0,Y31=0),"-",IF(AND(W31&gt;0,X31&gt;0,Y31=0),"Dosage?",IF(AND(W31&gt;0,X31=0,Y31=0),"Dosage?",IF(AND(W31=0,X31&gt;0,Y31=0),"Dosage?",Y31))))</f>
        <v>-</v>
      </c>
    </row>
    <row r="32" spans="3:28" ht="15.75" thickBot="1" x14ac:dyDescent="0.3">
      <c r="C32" s="595" t="s">
        <v>68</v>
      </c>
      <c r="D32" s="621">
        <f>'3 Paste Quality'!B38</f>
        <v>0</v>
      </c>
      <c r="E32" s="625" t="str">
        <f>IFERROR(ROUND((D32/100)*$F$24,0),"-")</f>
        <v>-</v>
      </c>
      <c r="F32" s="626" t="str">
        <f>IFERROR(ROUND(F24-(SUM(E32:E35)),0),"-")</f>
        <v>-</v>
      </c>
      <c r="I32" s="86" t="s">
        <v>284</v>
      </c>
      <c r="J32" s="593">
        <f>'3 Paste Quality'!$B$33</f>
        <v>0</v>
      </c>
      <c r="K32" s="87" t="s">
        <v>285</v>
      </c>
      <c r="L32" s="87">
        <f>(E26/100)*27.2</f>
        <v>0</v>
      </c>
      <c r="M32" s="88" t="str">
        <f>IF(OR(L32="",L32=0),"AIR ?",L32)</f>
        <v>AIR ?</v>
      </c>
      <c r="O32" s="86" t="s">
        <v>284</v>
      </c>
      <c r="P32" s="593">
        <f>'3 Paste Quality'!$B$33</f>
        <v>0</v>
      </c>
      <c r="Q32" s="592"/>
      <c r="R32" s="592"/>
      <c r="S32" s="87">
        <f>(E26/100)*27.2</f>
        <v>0</v>
      </c>
      <c r="T32" s="88" t="str">
        <f>IF(OR(S32="",S32=0),"AIR ?",S32)</f>
        <v>AIR ?</v>
      </c>
    </row>
    <row r="33" spans="3:23" ht="15.75" thickBot="1" x14ac:dyDescent="0.3">
      <c r="C33" s="595" t="s">
        <v>72</v>
      </c>
      <c r="D33" s="621">
        <f>'3 Paste Quality'!B39</f>
        <v>0</v>
      </c>
      <c r="E33" s="618" t="str">
        <f>IFERROR(ROUND((D33/100)*$F$24,0),"-")</f>
        <v>-</v>
      </c>
      <c r="V33" s="1381" t="s">
        <v>452</v>
      </c>
      <c r="W33" s="1382"/>
    </row>
    <row r="34" spans="3:23" ht="15" customHeight="1" thickBot="1" x14ac:dyDescent="0.3">
      <c r="C34" s="595" t="s">
        <v>206</v>
      </c>
      <c r="D34" s="621">
        <f>'3 Paste Quality'!B40</f>
        <v>0</v>
      </c>
      <c r="E34" s="618" t="str">
        <f>IFERROR(ROUND((D34/100)*$F$24,0),"-")</f>
        <v>-</v>
      </c>
      <c r="I34" s="1021" t="s">
        <v>433</v>
      </c>
      <c r="J34" s="1314"/>
      <c r="K34" s="1022"/>
      <c r="O34" s="1021" t="s">
        <v>408</v>
      </c>
      <c r="P34" s="1314"/>
      <c r="Q34" s="1022"/>
      <c r="V34" s="1374" t="s">
        <v>551</v>
      </c>
      <c r="W34" s="1375"/>
    </row>
    <row r="35" spans="3:23" ht="15.75" thickBot="1" x14ac:dyDescent="0.3">
      <c r="C35" s="595" t="s">
        <v>208</v>
      </c>
      <c r="D35" s="621">
        <f>'3 Paste Quality'!B41</f>
        <v>0</v>
      </c>
      <c r="E35" s="624" t="str">
        <f>IFERROR(ROUND((D35/100)*$F$24,0),"-")</f>
        <v>-</v>
      </c>
      <c r="I35" s="130" t="s">
        <v>79</v>
      </c>
      <c r="J35" s="597" t="s">
        <v>181</v>
      </c>
      <c r="K35" s="130" t="s">
        <v>287</v>
      </c>
      <c r="O35" s="130" t="s">
        <v>79</v>
      </c>
      <c r="P35" s="597" t="s">
        <v>181</v>
      </c>
      <c r="Q35" s="130" t="s">
        <v>287</v>
      </c>
      <c r="V35" s="1370"/>
      <c r="W35" s="1371"/>
    </row>
    <row r="36" spans="3:23" ht="15" customHeight="1" thickBot="1" x14ac:dyDescent="0.3">
      <c r="C36" s="596" t="s">
        <v>418</v>
      </c>
      <c r="D36" s="622">
        <f>SUM(D32:D35)</f>
        <v>0</v>
      </c>
      <c r="I36" s="595" t="s">
        <v>288</v>
      </c>
      <c r="J36" s="637">
        <f>SUM(K21:K23)</f>
        <v>0</v>
      </c>
      <c r="K36" s="595">
        <f>SUM(L21:L23)</f>
        <v>0</v>
      </c>
      <c r="O36" s="595" t="s">
        <v>288</v>
      </c>
      <c r="P36" s="637">
        <f>SUM(R21:R23)</f>
        <v>0</v>
      </c>
      <c r="Q36" s="595">
        <f>SUM(S21:S23)</f>
        <v>0</v>
      </c>
      <c r="V36" s="1370"/>
      <c r="W36" s="1371"/>
    </row>
    <row r="37" spans="3:23" x14ac:dyDescent="0.25">
      <c r="I37" s="595" t="s">
        <v>289</v>
      </c>
      <c r="J37" s="637">
        <f>SUM(K24:K25)</f>
        <v>0</v>
      </c>
      <c r="K37" s="595">
        <f>SUM(L24:L25)</f>
        <v>0</v>
      </c>
      <c r="O37" s="595" t="s">
        <v>289</v>
      </c>
      <c r="P37" s="637">
        <f>SUM(R24:R25)</f>
        <v>0</v>
      </c>
      <c r="Q37" s="595">
        <f>SUM(S24:S25)</f>
        <v>0</v>
      </c>
      <c r="V37" s="1370" t="s">
        <v>552</v>
      </c>
      <c r="W37" s="1371"/>
    </row>
    <row r="38" spans="3:23" x14ac:dyDescent="0.25">
      <c r="I38" s="595" t="s">
        <v>286</v>
      </c>
      <c r="J38" s="637">
        <f>SUM(K21:K25)</f>
        <v>0</v>
      </c>
      <c r="K38" s="595">
        <f>SUM(L21:L25)</f>
        <v>0</v>
      </c>
      <c r="O38" s="595" t="s">
        <v>286</v>
      </c>
      <c r="P38" s="637">
        <f>SUM(R21:R25)</f>
        <v>0</v>
      </c>
      <c r="Q38" s="595">
        <f>SUM(S21:S25)</f>
        <v>0</v>
      </c>
      <c r="V38" s="1370"/>
      <c r="W38" s="1371"/>
    </row>
    <row r="39" spans="3:23" ht="15.75" thickBot="1" x14ac:dyDescent="0.3">
      <c r="I39" s="595" t="s">
        <v>81</v>
      </c>
      <c r="J39" s="598">
        <f>SUM(K26:K30)</f>
        <v>0</v>
      </c>
      <c r="K39" s="639">
        <f>SUM(L26:L30)</f>
        <v>0</v>
      </c>
      <c r="O39" s="595" t="s">
        <v>81</v>
      </c>
      <c r="P39" s="598">
        <f>SUM(R26:R30)</f>
        <v>0</v>
      </c>
      <c r="Q39" s="639">
        <f>SUM(S26:S30)</f>
        <v>0</v>
      </c>
      <c r="V39" s="1372"/>
      <c r="W39" s="1373"/>
    </row>
    <row r="40" spans="3:23" x14ac:dyDescent="0.25">
      <c r="I40" s="595" t="s">
        <v>75</v>
      </c>
      <c r="J40" s="598">
        <f>SUM(K31)</f>
        <v>0</v>
      </c>
      <c r="K40" s="657" t="e">
        <f>L31</f>
        <v>#VALUE!</v>
      </c>
      <c r="O40" s="595" t="s">
        <v>75</v>
      </c>
      <c r="P40" s="598" t="str">
        <f>R31</f>
        <v>CM ERROR</v>
      </c>
      <c r="Q40" s="640" t="e">
        <f>S31</f>
        <v>#VALUE!</v>
      </c>
    </row>
    <row r="41" spans="3:23" x14ac:dyDescent="0.25">
      <c r="I41" s="595" t="s">
        <v>284</v>
      </c>
      <c r="J41" s="598">
        <f>E26</f>
        <v>0</v>
      </c>
      <c r="K41" s="595" t="str">
        <f>M32</f>
        <v>AIR ?</v>
      </c>
      <c r="O41" s="595" t="s">
        <v>284</v>
      </c>
      <c r="P41" s="599">
        <f>E26</f>
        <v>0</v>
      </c>
      <c r="Q41" s="595" t="str">
        <f>T32</f>
        <v>AIR ?</v>
      </c>
    </row>
    <row r="42" spans="3:23" ht="15.75" thickBot="1" x14ac:dyDescent="0.3">
      <c r="I42" s="740" t="s">
        <v>80</v>
      </c>
      <c r="J42" s="638">
        <f>SUM(J38:J40)</f>
        <v>0</v>
      </c>
      <c r="K42" s="740" t="e">
        <f>SUM(K38:K41)</f>
        <v>#VALUE!</v>
      </c>
      <c r="O42" s="596" t="s">
        <v>80</v>
      </c>
      <c r="P42" s="638">
        <f>SUM(P38:P40)</f>
        <v>0</v>
      </c>
      <c r="Q42" s="740" t="e">
        <f>SUM(Q38:Q41)</f>
        <v>#VALUE!</v>
      </c>
    </row>
    <row r="43" spans="3:23" x14ac:dyDescent="0.25">
      <c r="I43" s="130" t="s">
        <v>290</v>
      </c>
      <c r="J43" s="641" t="s">
        <v>276</v>
      </c>
      <c r="K43" s="130" t="s">
        <v>278</v>
      </c>
      <c r="O43" s="130" t="s">
        <v>290</v>
      </c>
      <c r="P43" s="641" t="s">
        <v>276</v>
      </c>
      <c r="Q43" s="130" t="s">
        <v>278</v>
      </c>
    </row>
    <row r="44" spans="3:23" x14ac:dyDescent="0.25">
      <c r="I44" s="595" t="s">
        <v>226</v>
      </c>
      <c r="J44" s="598" t="e">
        <f>(K36/$K$42)*100</f>
        <v>#VALUE!</v>
      </c>
      <c r="K44" s="595" t="str">
        <f>IF(F24="CM ERROR","CM ERROR",IF(OR(E6="SG?",E7="SG?",E8="SG?",E9="SG?",E10="SG?",E6="GRAD. ?",E7="GRAD. ?",E8="GRAD. ?",E9="GRAD. ?",E10="GRAD. ?"),"AGG. ERROR",IF(M30="SCM ERROR","CM ERROR",J44)))</f>
        <v>CM ERROR</v>
      </c>
      <c r="O44" s="595" t="s">
        <v>226</v>
      </c>
      <c r="P44" s="598" t="e">
        <f>(Q36/$Q$42)*100</f>
        <v>#VALUE!</v>
      </c>
      <c r="Q44" s="595" t="str">
        <f>IF(F24="CM ERROR","CM ERROR",IF(OR(F6="SG?",F7="SG?",F8="SG?",F9="SG?",F10="SG?",F6="GRAD. ?",F7="GRAD. ?",F8="GRAD. ?",F9="GRAD. ?",F10="GRAD. ?"),"AGG. ERROR",IF(T30="SCM ERROR","CM ERROR",P44)))</f>
        <v>CM ERROR</v>
      </c>
    </row>
    <row r="45" spans="3:23" x14ac:dyDescent="0.25">
      <c r="I45" s="595" t="s">
        <v>225</v>
      </c>
      <c r="J45" s="598" t="e">
        <f>(K37/$K$42)*100</f>
        <v>#VALUE!</v>
      </c>
      <c r="K45" s="595" t="str">
        <f>IF(F24="CM ERROR","CM ERROR",IF(OR(E6="SG?",E7="SG?",E8="SG?",E9="SG?",E10="SG?",E6="GRAD. ?",E7="GRAD. ?",E8="GRAD. ?",E9="GRAD. ?",E10="GRAD. ?"),"AGG. ERROR",IF(M30="SCM ERROR","CM ERROR",J45)))</f>
        <v>CM ERROR</v>
      </c>
      <c r="O45" s="595" t="s">
        <v>225</v>
      </c>
      <c r="P45" s="598" t="e">
        <f>(Q37/$Q$42)*100</f>
        <v>#VALUE!</v>
      </c>
      <c r="Q45" s="595" t="str">
        <f>IF(F24="CM ERROR","CM ERROR",IF(OR(F6="SG?",F7="SG?",F8="SG?",F9="SG?",F10="SG?",F6="GRAD. ?",F7="GRAD. ?",F8="GRAD. ?",F9="GRAD. ?",F10="GRAD. ?"),"AGG. ERROR",IF(T30="SCM ERROR","CM ERROR",P45)))</f>
        <v>CM ERROR</v>
      </c>
    </row>
    <row r="46" spans="3:23" x14ac:dyDescent="0.25">
      <c r="I46" s="595" t="s">
        <v>228</v>
      </c>
      <c r="J46" s="598" t="e">
        <f>(K38/$K$42)*100</f>
        <v>#VALUE!</v>
      </c>
      <c r="K46" s="595" t="str">
        <f>IF(F24="CM ERROR","CM ERROR",IF(OR(K44="AGG. ERROR",K45="AGG. ERROR"),"AGG. ERROR",IF(M30="SCM ERROR","CM ERROR",J46)))</f>
        <v>CM ERROR</v>
      </c>
      <c r="O46" s="595" t="s">
        <v>228</v>
      </c>
      <c r="P46" s="598" t="e">
        <f>(Q38/$Q$42)*100</f>
        <v>#VALUE!</v>
      </c>
      <c r="Q46" s="595" t="str">
        <f>IF(F24="CM ERROR","CM ERROR",IF(OR(Q44="AGG. ERROR",Q45="AGG. ERROR"),"AGG. ERROR",IF(T30="SCM ERROR","CM ERROR",P46)))</f>
        <v>CM ERROR</v>
      </c>
    </row>
    <row r="47" spans="3:23" x14ac:dyDescent="0.25">
      <c r="I47" s="595" t="s">
        <v>227</v>
      </c>
      <c r="J47" s="598" t="e">
        <f>100*SUM(K39:K41)/$K$42</f>
        <v>#VALUE!</v>
      </c>
      <c r="K47" s="595" t="str">
        <f>IF(M32="AIR ?","AIR ?",IF(F24="CM ERROR","CM ERROR",IF(OR(E11="SG?",E12="SG?",E13="SG?",E14="SG?",E15="SG?"),"CM ERROR",IF(M30="SCM ERROR","CM ERROR",J47))))</f>
        <v>AIR ?</v>
      </c>
      <c r="O47" s="595" t="s">
        <v>227</v>
      </c>
      <c r="P47" s="598" t="e">
        <f>100*SUM(Q39:Q41)/$Q$42</f>
        <v>#VALUE!</v>
      </c>
      <c r="Q47" s="595" t="str">
        <f>IF(T32="AIR ?","AIR ?",IF(F24="CM ERROR","CM ERROR",IF(OR(L11="SG?",L12="SG?",L13="SG?",L14="SG?",L15="SG?"),"CM ERROR",IF(T30="SCM ERROR","CM ERROR",P47))))</f>
        <v>AIR ?</v>
      </c>
    </row>
    <row r="48" spans="3:23" x14ac:dyDescent="0.25">
      <c r="I48" s="595" t="s">
        <v>291</v>
      </c>
      <c r="J48" s="598" t="e">
        <f>(J49*'7 Calculation Check'!J46)/100</f>
        <v>#VALUE!</v>
      </c>
      <c r="K48" s="595" t="str">
        <f>IF(F24="CM ERROR","CM ERROR",IF(J49=0,"VOID CONT.?",J48))</f>
        <v>CM ERROR</v>
      </c>
      <c r="O48" s="595" t="s">
        <v>291</v>
      </c>
      <c r="P48" s="598" t="e">
        <f>(P49*'7 Calculation Check'!P46)/100</f>
        <v>#VALUE!</v>
      </c>
      <c r="Q48" s="595" t="str">
        <f>IF(F24="CM ERROR","CM ERROR",IF(P49=0,"VOID CONT.?",P48))</f>
        <v>CM ERROR</v>
      </c>
    </row>
    <row r="49" spans="8:20" x14ac:dyDescent="0.25">
      <c r="I49" s="595" t="s">
        <v>269</v>
      </c>
      <c r="J49" s="598">
        <f>'3 Paste Quality'!B36</f>
        <v>0</v>
      </c>
      <c r="K49" s="595" t="str">
        <f>IF(OR(J49="",J49=0),"VOID CONT.?",'3 Paste Quality'!B36)</f>
        <v>VOID CONT.?</v>
      </c>
      <c r="O49" s="595" t="s">
        <v>269</v>
      </c>
      <c r="P49" s="598">
        <f>'3 Paste Quality'!B36</f>
        <v>0</v>
      </c>
      <c r="Q49" s="595" t="str">
        <f>IF(OR(P49="",P49=0),"VOID CONT.?",'3 Paste Quality'!B36)</f>
        <v>VOID CONT.?</v>
      </c>
    </row>
    <row r="50" spans="8:20" ht="15.75" thickBot="1" x14ac:dyDescent="0.3">
      <c r="I50" s="596" t="s">
        <v>82</v>
      </c>
      <c r="J50" s="600" t="e">
        <f>J47/J48</f>
        <v>#VALUE!</v>
      </c>
      <c r="K50" s="596" t="str">
        <f>IF(F24="CM ERROR","CM ERROR",IF(K49="VOID CONT.?","VOID CONT.?",J50))</f>
        <v>CM ERROR</v>
      </c>
      <c r="L50" s="92" t="str">
        <f>IF(K50="VOID CONT.?","VOID CONT.?",K50)</f>
        <v>CM ERROR</v>
      </c>
      <c r="O50" s="596" t="s">
        <v>82</v>
      </c>
      <c r="P50" s="600" t="e">
        <f>P47/P48</f>
        <v>#VALUE!</v>
      </c>
      <c r="Q50" s="596" t="str">
        <f>IF(F24="CM ERROR","CM ERROR",IF(Q49="VOID CONT.?","VOID CONT.?",P50))</f>
        <v>CM ERROR</v>
      </c>
      <c r="R50" s="92" t="str">
        <f>IF(Q50="VOID CONT.?","VOID CONT.?",Q50)</f>
        <v>CM ERROR</v>
      </c>
    </row>
    <row r="51" spans="8:20" ht="15.75" thickBot="1" x14ac:dyDescent="0.3">
      <c r="I51" s="117" t="s">
        <v>222</v>
      </c>
      <c r="J51" s="117">
        <f>'3 Paste Quality'!$B$36</f>
        <v>0</v>
      </c>
      <c r="O51" s="117" t="s">
        <v>437</v>
      </c>
      <c r="P51" s="739">
        <v>27.2</v>
      </c>
    </row>
    <row r="52" spans="8:20" ht="15.75" thickBot="1" x14ac:dyDescent="0.3"/>
    <row r="53" spans="8:20" ht="15.75" thickBot="1" x14ac:dyDescent="0.3">
      <c r="H53" s="1021" t="s">
        <v>389</v>
      </c>
      <c r="I53" s="1314"/>
      <c r="J53" s="1314"/>
      <c r="K53" s="1314"/>
      <c r="L53" s="1022"/>
      <c r="M53" s="117" t="s">
        <v>204</v>
      </c>
      <c r="O53" s="1021" t="s">
        <v>390</v>
      </c>
      <c r="P53" s="1314"/>
      <c r="Q53" s="1314"/>
      <c r="R53" s="1314"/>
      <c r="S53" s="1022"/>
      <c r="T53" s="117" t="s">
        <v>204</v>
      </c>
    </row>
    <row r="54" spans="8:20" ht="15.75" thickBot="1" x14ac:dyDescent="0.3">
      <c r="H54" s="594" t="s">
        <v>277</v>
      </c>
      <c r="I54" s="130" t="s">
        <v>47</v>
      </c>
      <c r="J54" s="597" t="s">
        <v>276</v>
      </c>
      <c r="K54" s="130" t="s">
        <v>278</v>
      </c>
      <c r="L54" s="131"/>
      <c r="M54" s="117" t="str">
        <f>'4 Mix Design'!E54</f>
        <v>Slip-form</v>
      </c>
      <c r="O54" s="130" t="s">
        <v>277</v>
      </c>
      <c r="P54" s="597" t="s">
        <v>47</v>
      </c>
      <c r="Q54" s="130" t="s">
        <v>276</v>
      </c>
      <c r="R54" s="597" t="s">
        <v>278</v>
      </c>
      <c r="S54" s="130"/>
      <c r="T54" s="117" t="str">
        <f>'Optimize Tool'!A38</f>
        <v>Slip-form</v>
      </c>
    </row>
    <row r="55" spans="8:20" ht="15.75" x14ac:dyDescent="0.25">
      <c r="H55" s="77" t="s">
        <v>273</v>
      </c>
      <c r="I55" s="595">
        <v>2.2999999999999998</v>
      </c>
      <c r="J55" s="598" t="e">
        <f>IF(M54=0,"ERROR",Data_Charts!$M$44)</f>
        <v>#VALUE!</v>
      </c>
      <c r="K55" s="595" t="e">
        <f>IF(M54=0,"ERROR",IF(J55&lt;=I55,"Pass","Fail"))</f>
        <v>#VALUE!</v>
      </c>
      <c r="L55" s="738"/>
      <c r="O55" s="741" t="s">
        <v>273</v>
      </c>
      <c r="P55" s="598">
        <v>2.2999999999999998</v>
      </c>
      <c r="Q55" s="595" t="e">
        <f>IF(T54=0,"ERROR",Data_Charts!$M$44)</f>
        <v>#VALUE!</v>
      </c>
      <c r="R55" s="598" t="e">
        <f>IF(T54=0,"ERROR",IF(Q55&lt;=P55,"Pass","Fail"))</f>
        <v>#VALUE!</v>
      </c>
      <c r="S55" s="595"/>
    </row>
    <row r="56" spans="8:20" ht="15.75" x14ac:dyDescent="0.25">
      <c r="H56" s="77" t="s">
        <v>274</v>
      </c>
      <c r="I56" s="595">
        <v>15</v>
      </c>
      <c r="J56" s="599">
        <f>IF(M54=0,"ERROR",SUM(L12:L14))</f>
        <v>0</v>
      </c>
      <c r="K56" s="595" t="str">
        <f>IF(M54=0,"ERROR",IF(J56&gt;=I56,"Pass","Fail"))</f>
        <v>Fail</v>
      </c>
      <c r="L56" s="738"/>
      <c r="O56" s="741" t="s">
        <v>274</v>
      </c>
      <c r="P56" s="598">
        <v>15</v>
      </c>
      <c r="Q56" s="603">
        <f>IF(T54=0,"ERROR",SUM(R12:R14))</f>
        <v>0</v>
      </c>
      <c r="R56" s="598" t="str">
        <f>IF(T54=0,"ERROR",IF(Q56&gt;=P56,"Pass","Fail"))</f>
        <v>Fail</v>
      </c>
      <c r="S56" s="595"/>
    </row>
    <row r="57" spans="8:20" x14ac:dyDescent="0.25">
      <c r="H57" s="1392" t="s">
        <v>275</v>
      </c>
      <c r="I57" s="595" t="s">
        <v>241</v>
      </c>
      <c r="J57" s="598" t="s">
        <v>242</v>
      </c>
      <c r="K57" s="595" t="s">
        <v>276</v>
      </c>
      <c r="L57" s="738" t="s">
        <v>278</v>
      </c>
      <c r="O57" s="1395" t="s">
        <v>275</v>
      </c>
      <c r="P57" s="598" t="s">
        <v>241</v>
      </c>
      <c r="Q57" s="595" t="s">
        <v>242</v>
      </c>
      <c r="R57" s="598" t="s">
        <v>276</v>
      </c>
      <c r="S57" s="595" t="s">
        <v>278</v>
      </c>
    </row>
    <row r="58" spans="8:20" ht="15.75" thickBot="1" x14ac:dyDescent="0.3">
      <c r="H58" s="1393"/>
      <c r="I58" s="596">
        <v>24</v>
      </c>
      <c r="J58" s="600">
        <f>IF('4 Mix Design'!E54="","ERROR",IF('4 Mix Design'!E54="Slip-form",34,40))</f>
        <v>34</v>
      </c>
      <c r="K58" s="602">
        <f>IF(M54=0,"ERROR",SUM(L14:L17))</f>
        <v>0</v>
      </c>
      <c r="L58" s="601" t="str">
        <f>IF(M54=0,"ERROR",IF(AND(K58&gt;=$I$58,K58&lt;=$J$58),"Pass","Fail"))</f>
        <v>Fail</v>
      </c>
      <c r="O58" s="1396"/>
      <c r="P58" s="600">
        <f>IF(T54=0,"ERROR",24)</f>
        <v>24</v>
      </c>
      <c r="Q58" s="596">
        <f>IF('Optimize Tool'!A38="","ERROR",IF('Optimize Tool'!A38="Slip-form",34,40))</f>
        <v>34</v>
      </c>
      <c r="R58" s="604">
        <f>IF(T54=0,"ERROR",SUM(R14:R17))</f>
        <v>0</v>
      </c>
      <c r="S58" s="596" t="str">
        <f>IF(T54=0,"ERROR",IF(AND(R58&gt;=$P$58,R58&lt;=$Q$58),"Pass","Fail"))</f>
        <v>Fail</v>
      </c>
    </row>
  </sheetData>
  <sheetProtection algorithmName="SHA-512" hashValue="wURF2wYWXw+Ii5zObV57jKCZn+EnEP/n8bXvSq3e3H7fYW/fYirPPWwVp9FGlskcIXQg5qJpKJefJWc9IqwYQg==" saltValue="hoBu6tdFh/blmYhNL7HLVA==" spinCount="100000" sheet="1" objects="1" scenarios="1"/>
  <mergeCells count="43">
    <mergeCell ref="A1:E1"/>
    <mergeCell ref="F1:H1"/>
    <mergeCell ref="I2:M2"/>
    <mergeCell ref="O2:S2"/>
    <mergeCell ref="J3:K3"/>
    <mergeCell ref="L3:L4"/>
    <mergeCell ref="P3:Q3"/>
    <mergeCell ref="R3:R4"/>
    <mergeCell ref="S3:S4"/>
    <mergeCell ref="M3:M4"/>
    <mergeCell ref="C4:F4"/>
    <mergeCell ref="H57:H58"/>
    <mergeCell ref="H53:L53"/>
    <mergeCell ref="O3:O4"/>
    <mergeCell ref="I3:I4"/>
    <mergeCell ref="O34:Q34"/>
    <mergeCell ref="I34:K34"/>
    <mergeCell ref="O53:S53"/>
    <mergeCell ref="O57:O58"/>
    <mergeCell ref="V2:AB2"/>
    <mergeCell ref="V3:Y3"/>
    <mergeCell ref="Z12:AB12"/>
    <mergeCell ref="V11:AB11"/>
    <mergeCell ref="V12:Y12"/>
    <mergeCell ref="Z3:AB3"/>
    <mergeCell ref="C17:E17"/>
    <mergeCell ref="C22:F22"/>
    <mergeCell ref="V25:AB25"/>
    <mergeCell ref="V26:Y26"/>
    <mergeCell ref="Z26:AB26"/>
    <mergeCell ref="I19:M19"/>
    <mergeCell ref="O19:T19"/>
    <mergeCell ref="C26:D26"/>
    <mergeCell ref="V21:X21"/>
    <mergeCell ref="Y21:AA21"/>
    <mergeCell ref="V37:W39"/>
    <mergeCell ref="V34:W36"/>
    <mergeCell ref="C30:C31"/>
    <mergeCell ref="D30:D31"/>
    <mergeCell ref="V20:AA20"/>
    <mergeCell ref="C29:D29"/>
    <mergeCell ref="C27:D27"/>
    <mergeCell ref="V33:W33"/>
  </mergeCells>
  <pageMargins left="0.7" right="0.7" top="0.75" bottom="0.75" header="0.3" footer="0.3"/>
  <pageSetup scale="41" orientation="portrait" horizontalDpi="200" verticalDpi="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084a3b99851304f4f38e77c997b3e73">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e1c1267e1aa6198bcb4d2224473d480d"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D66C81-6D18-49DD-8F85-5BAA818924AB}"/>
</file>

<file path=customXml/itemProps2.xml><?xml version="1.0" encoding="utf-8"?>
<ds:datastoreItem xmlns:ds="http://schemas.openxmlformats.org/officeDocument/2006/customXml" ds:itemID="{7AB789EF-A9E5-484C-B0FA-57F69FFA7402}">
  <ds:schemaRefs>
    <ds:schemaRef ds:uri="http://purl.org/dc/elements/1.1/"/>
    <ds:schemaRef ds:uri="http://schemas.microsoft.com/office/2006/metadata/properties"/>
    <ds:schemaRef ds:uri="http://schemas.microsoft.com/sharepoint/v3"/>
    <ds:schemaRef ds:uri="a8b72882-1d02-4704-8464-4e9c6e9dc531"/>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0FA9F98-3242-462B-A635-EE73AB2CAA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Directions</vt:lpstr>
      <vt:lpstr>Printing Directions</vt:lpstr>
      <vt:lpstr>1 Certification</vt:lpstr>
      <vt:lpstr>2 Aggregate System</vt:lpstr>
      <vt:lpstr>3 Paste Quality</vt:lpstr>
      <vt:lpstr>4 Mix Design</vt:lpstr>
      <vt:lpstr>5 Unit Wt_Voids in Agg</vt:lpstr>
      <vt:lpstr>Optimize Tool</vt:lpstr>
      <vt:lpstr>Data_Charts</vt:lpstr>
      <vt:lpstr>6 Agg Analysis</vt:lpstr>
      <vt:lpstr>7 Calculation Check</vt:lpstr>
      <vt:lpstr>'1 Certification'!Print_Area</vt:lpstr>
      <vt:lpstr>'2 Aggregate System'!Print_Area</vt:lpstr>
      <vt:lpstr>'3 Paste Quality'!Print_Area</vt:lpstr>
      <vt:lpstr>'4 Mix Design'!Print_Area</vt:lpstr>
      <vt:lpstr>Data_Charts!Print_Area</vt:lpstr>
      <vt:lpstr>Directions!Print_Area</vt:lpstr>
      <vt:lpstr>'Optimize Tool'!Print_Area</vt:lpstr>
      <vt:lpstr>'Printing Directions'!Print_Area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Concrete Mixture Design - Optimized Aggregate Gradation</dc:title>
  <dc:creator>WisDOT</dc:creator>
  <cp:keywords>Concrete Mixture Design - Optimized Aggregate Gradation</cp:keywords>
  <cp:lastModifiedBy>GOLLAPUDI, SRI TEJA</cp:lastModifiedBy>
  <cp:lastPrinted>2022-06-28T18:40:19Z</cp:lastPrinted>
  <dcterms:created xsi:type="dcterms:W3CDTF">2019-04-29T15:27:56Z</dcterms:created>
  <dcterms:modified xsi:type="dcterms:W3CDTF">2022-08-04T16:22:54Z</dcterms:modified>
  <cp:category>Concrete Mixture Design - Optimized Aggregate Gradation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